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24.xml" ContentType="application/vnd.openxmlformats-officedocument.spreadsheetml.worksheet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drawings/drawing4.xml" ContentType="application/vnd.openxmlformats-officedocument.drawing+xml"/>
  <Override PartName="/xl/drawings/drawing5.xml" ContentType="application/vnd.openxmlformats-officedocument.drawing+xml"/>
  <Default Extension="jpeg" ContentType="image/jpeg"/>
  <Override PartName="/xl/drawings/drawing17.xml" ContentType="application/vnd.openxmlformats-officedocument.drawing+xml"/>
  <Override PartName="/xl/charts/chart2.xml" ContentType="application/vnd.openxmlformats-officedocument.drawingml.chart+xml"/>
  <Override PartName="/xl/charts/chart3.xml" ContentType="application/vnd.openxmlformats-officedocument.drawingml.chart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harts/chart1.xml" ContentType="application/vnd.openxmlformats-officedocument.drawingml.chart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26.xml" ContentType="application/vnd.openxmlformats-officedocument.spreadsheetml.worksheet+xml"/>
  <Override PartName="/docProps/core.xml" ContentType="application/vnd.openxmlformats-package.core-properties+xml"/>
  <Override PartName="/xl/worksheets/sheet16.xml" ContentType="application/vnd.openxmlformats-officedocument.spreadsheetml.worksheet+xml"/>
  <Override PartName="/xl/worksheets/sheet25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14.xml" ContentType="application/vnd.openxmlformats-officedocument.spreadsheetml.worksheet+xml"/>
  <Override PartName="/xl/worksheets/sheet23.xml" ContentType="application/vnd.openxmlformats-officedocument.spreadsheetml.worksheet+xml"/>
  <Override PartName="/xl/drawings/drawing7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showInkAnnotation="0" codeName="ThisWorkbook"/>
  <bookViews>
    <workbookView xWindow="270" yWindow="570" windowWidth="11175" windowHeight="8640" tabRatio="844" activeTab="4"/>
  </bookViews>
  <sheets>
    <sheet name="power" sheetId="14" r:id="rId1"/>
    <sheet name="pro_mini" sheetId="3" r:id="rId2"/>
    <sheet name="MAX-M8Q " sheetId="4" r:id="rId3"/>
    <sheet name="ntx2" sheetId="5" r:id="rId4"/>
    <sheet name="ntx2_new" sheetId="29" r:id="rId5"/>
    <sheet name="sd_card_1" sheetId="6" r:id="rId6"/>
    <sheet name="sd_card_2" sheetId="12" r:id="rId7"/>
    <sheet name="ds18b20" sheetId="7" r:id="rId8"/>
    <sheet name="bmp180" sheetId="8" r:id="rId9"/>
    <sheet name="adxl345" sheetId="9" r:id="rId10"/>
    <sheet name="htu21" sheetId="10" r:id="rId11"/>
    <sheet name="hmc5883" sheetId="11" r:id="rId12"/>
    <sheet name="FT232RL" sheetId="17" r:id="rId13"/>
    <sheet name="openlog" sheetId="18" r:id="rId14"/>
    <sheet name="volt_bridge" sheetId="19" r:id="rId15"/>
    <sheet name="Sheet1" sheetId="13" r:id="rId16"/>
    <sheet name="Sheet2" sheetId="15" r:id="rId17"/>
    <sheet name="Sheet3" sheetId="16" r:id="rId18"/>
    <sheet name="comms" sheetId="20" r:id="rId19"/>
    <sheet name="error_codes" sheetId="21" r:id="rId20"/>
    <sheet name="weights" sheetId="23" r:id="rId21"/>
    <sheet name="altitude" sheetId="24" r:id="rId22"/>
    <sheet name="Sheet5" sheetId="27" r:id="rId23"/>
    <sheet name="Sheet4" sheetId="25" r:id="rId24"/>
    <sheet name="sprintf" sheetId="26" r:id="rId25"/>
    <sheet name="Sheet6" sheetId="28" r:id="rId26"/>
  </sheets>
  <calcPr calcId="125725"/>
  <fileRecoveryPr repairLoad="1"/>
</workbook>
</file>

<file path=xl/calcChain.xml><?xml version="1.0" encoding="utf-8"?>
<calcChain xmlns="http://schemas.openxmlformats.org/spreadsheetml/2006/main">
  <c r="S57" i="29"/>
  <c r="N56"/>
  <c r="S58"/>
  <c r="M50"/>
  <c r="M46"/>
  <c r="M41"/>
  <c r="M42" s="1"/>
  <c r="M56" s="1"/>
  <c r="X38"/>
  <c r="X39" s="1"/>
  <c r="X37"/>
  <c r="S37"/>
  <c r="M35"/>
  <c r="M55" s="1"/>
  <c r="X29"/>
  <c r="X28"/>
  <c r="X27"/>
  <c r="X26"/>
  <c r="X25"/>
  <c r="X24"/>
  <c r="X23"/>
  <c r="X22"/>
  <c r="D16"/>
  <c r="Q55" i="5"/>
  <c r="D9" i="28"/>
  <c r="B119" i="8"/>
  <c r="B118"/>
  <c r="B49"/>
  <c r="J74" i="14"/>
  <c r="J75"/>
  <c r="J76"/>
  <c r="J73"/>
  <c r="N17" i="24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H17"/>
  <c r="K17" s="1"/>
  <c r="H18"/>
  <c r="H19"/>
  <c r="H20"/>
  <c r="K20" s="1"/>
  <c r="H21"/>
  <c r="K21" s="1"/>
  <c r="H22"/>
  <c r="H23"/>
  <c r="H24"/>
  <c r="K24" s="1"/>
  <c r="H25"/>
  <c r="K25" s="1"/>
  <c r="H26"/>
  <c r="H27"/>
  <c r="H28"/>
  <c r="K28" s="1"/>
  <c r="H29"/>
  <c r="K29" s="1"/>
  <c r="H30"/>
  <c r="H31"/>
  <c r="H32"/>
  <c r="K32" s="1"/>
  <c r="H33"/>
  <c r="K33" s="1"/>
  <c r="H34"/>
  <c r="H35"/>
  <c r="H36"/>
  <c r="K36" s="1"/>
  <c r="H37"/>
  <c r="K37" s="1"/>
  <c r="H38"/>
  <c r="H39"/>
  <c r="H40"/>
  <c r="K40" s="1"/>
  <c r="H41"/>
  <c r="K41" s="1"/>
  <c r="H42"/>
  <c r="H43"/>
  <c r="H44"/>
  <c r="K44" s="1"/>
  <c r="H45"/>
  <c r="K45" s="1"/>
  <c r="H46"/>
  <c r="H47"/>
  <c r="H48"/>
  <c r="K48" s="1"/>
  <c r="H49"/>
  <c r="K49" s="1"/>
  <c r="H50"/>
  <c r="H51"/>
  <c r="H52"/>
  <c r="K52" s="1"/>
  <c r="H53"/>
  <c r="K53" s="1"/>
  <c r="H54"/>
  <c r="H55"/>
  <c r="H56"/>
  <c r="K56" s="1"/>
  <c r="H57"/>
  <c r="K57" s="1"/>
  <c r="H58"/>
  <c r="H59"/>
  <c r="H60"/>
  <c r="K60" s="1"/>
  <c r="H61"/>
  <c r="K61" s="1"/>
  <c r="H62"/>
  <c r="H63"/>
  <c r="H64"/>
  <c r="K64" s="1"/>
  <c r="H65"/>
  <c r="K65" s="1"/>
  <c r="H66"/>
  <c r="K16"/>
  <c r="K18"/>
  <c r="K19"/>
  <c r="K22"/>
  <c r="K23"/>
  <c r="K26"/>
  <c r="K27"/>
  <c r="K30"/>
  <c r="K31"/>
  <c r="K34"/>
  <c r="K35"/>
  <c r="K38"/>
  <c r="K39"/>
  <c r="K42"/>
  <c r="K43"/>
  <c r="K46"/>
  <c r="K47"/>
  <c r="K50"/>
  <c r="K51"/>
  <c r="K54"/>
  <c r="K55"/>
  <c r="K58"/>
  <c r="K59"/>
  <c r="K62"/>
  <c r="K63"/>
  <c r="K66"/>
  <c r="N16"/>
  <c r="H16"/>
  <c r="E16"/>
  <c r="T6"/>
  <c r="E17"/>
  <c r="E18"/>
  <c r="D17"/>
  <c r="D18"/>
  <c r="D19"/>
  <c r="D20"/>
  <c r="I20" s="1"/>
  <c r="J20" s="1"/>
  <c r="D21"/>
  <c r="E21" s="1"/>
  <c r="N15"/>
  <c r="O15"/>
  <c r="P15"/>
  <c r="Q15"/>
  <c r="R15"/>
  <c r="S15"/>
  <c r="T15"/>
  <c r="L17"/>
  <c r="L18"/>
  <c r="L19"/>
  <c r="L20"/>
  <c r="L21"/>
  <c r="L22"/>
  <c r="L23"/>
  <c r="L24"/>
  <c r="L25"/>
  <c r="L26"/>
  <c r="L27"/>
  <c r="L28"/>
  <c r="L29"/>
  <c r="L30"/>
  <c r="L31"/>
  <c r="L32"/>
  <c r="L33"/>
  <c r="L34"/>
  <c r="L35"/>
  <c r="L36"/>
  <c r="L37"/>
  <c r="L38"/>
  <c r="L39"/>
  <c r="L40"/>
  <c r="L41"/>
  <c r="L42"/>
  <c r="L43"/>
  <c r="L44"/>
  <c r="L45"/>
  <c r="L46"/>
  <c r="L47"/>
  <c r="L48"/>
  <c r="L49"/>
  <c r="L50"/>
  <c r="L51"/>
  <c r="L52"/>
  <c r="L53"/>
  <c r="L54"/>
  <c r="L55"/>
  <c r="L56"/>
  <c r="L57"/>
  <c r="L58"/>
  <c r="L59"/>
  <c r="L60"/>
  <c r="L61"/>
  <c r="L62"/>
  <c r="L63"/>
  <c r="L64"/>
  <c r="L65"/>
  <c r="L66"/>
  <c r="L16"/>
  <c r="I7"/>
  <c r="I17"/>
  <c r="J17" s="1"/>
  <c r="I21"/>
  <c r="J21" s="1"/>
  <c r="I24"/>
  <c r="J24" s="1"/>
  <c r="I25"/>
  <c r="J25" s="1"/>
  <c r="I28"/>
  <c r="J28" s="1"/>
  <c r="I29"/>
  <c r="J29" s="1"/>
  <c r="I32"/>
  <c r="J32" s="1"/>
  <c r="I33"/>
  <c r="J33" s="1"/>
  <c r="I36"/>
  <c r="J36" s="1"/>
  <c r="I37"/>
  <c r="J37" s="1"/>
  <c r="I40"/>
  <c r="J40" s="1"/>
  <c r="I41"/>
  <c r="J41" s="1"/>
  <c r="I48"/>
  <c r="J48" s="1"/>
  <c r="I52"/>
  <c r="J52" s="1"/>
  <c r="I53"/>
  <c r="J53" s="1"/>
  <c r="I56"/>
  <c r="J56" s="1"/>
  <c r="I57"/>
  <c r="J57" s="1"/>
  <c r="I64"/>
  <c r="J64" s="1"/>
  <c r="D44"/>
  <c r="E44" s="1"/>
  <c r="F44" s="1"/>
  <c r="D45"/>
  <c r="E45" s="1"/>
  <c r="D46"/>
  <c r="I46" s="1"/>
  <c r="J46" s="1"/>
  <c r="E46"/>
  <c r="F46" s="1"/>
  <c r="D47"/>
  <c r="E47" s="1"/>
  <c r="F47" s="1"/>
  <c r="D48"/>
  <c r="E48" s="1"/>
  <c r="F48" s="1"/>
  <c r="D49"/>
  <c r="I49" s="1"/>
  <c r="J49" s="1"/>
  <c r="D50"/>
  <c r="I50" s="1"/>
  <c r="J50" s="1"/>
  <c r="D51"/>
  <c r="E51" s="1"/>
  <c r="F51" s="1"/>
  <c r="D52"/>
  <c r="E52" s="1"/>
  <c r="F52" s="1"/>
  <c r="D53"/>
  <c r="E53"/>
  <c r="F53" s="1"/>
  <c r="D54"/>
  <c r="I54" s="1"/>
  <c r="J54" s="1"/>
  <c r="D55"/>
  <c r="E55" s="1"/>
  <c r="F55" s="1"/>
  <c r="D56"/>
  <c r="E56" s="1"/>
  <c r="F56" s="1"/>
  <c r="D57"/>
  <c r="E57" s="1"/>
  <c r="D58"/>
  <c r="I58" s="1"/>
  <c r="J58" s="1"/>
  <c r="D59"/>
  <c r="E59" s="1"/>
  <c r="F59" s="1"/>
  <c r="D60"/>
  <c r="E60" s="1"/>
  <c r="F60" s="1"/>
  <c r="D61"/>
  <c r="E61" s="1"/>
  <c r="D62"/>
  <c r="I62" s="1"/>
  <c r="J62" s="1"/>
  <c r="E62"/>
  <c r="F62" s="1"/>
  <c r="D63"/>
  <c r="E63" s="1"/>
  <c r="F63" s="1"/>
  <c r="D64"/>
  <c r="E64" s="1"/>
  <c r="F64" s="1"/>
  <c r="D65"/>
  <c r="I65" s="1"/>
  <c r="J65" s="1"/>
  <c r="D66"/>
  <c r="I66" s="1"/>
  <c r="J66" s="1"/>
  <c r="I47" i="8"/>
  <c r="I46"/>
  <c r="I43"/>
  <c r="S17"/>
  <c r="T17"/>
  <c r="U17"/>
  <c r="V17"/>
  <c r="W17"/>
  <c r="W20" s="1"/>
  <c r="Z20"/>
  <c r="AA20"/>
  <c r="AB20"/>
  <c r="AC20"/>
  <c r="AE20"/>
  <c r="AF20"/>
  <c r="R17"/>
  <c r="AG20"/>
  <c r="AB19"/>
  <c r="AA19" s="1"/>
  <c r="Z19" s="1"/>
  <c r="Y19" s="1"/>
  <c r="AD20"/>
  <c r="X20"/>
  <c r="V20"/>
  <c r="U20"/>
  <c r="T20"/>
  <c r="R20"/>
  <c r="Q31"/>
  <c r="R31"/>
  <c r="S31"/>
  <c r="T31"/>
  <c r="U31"/>
  <c r="V31"/>
  <c r="X30"/>
  <c r="W30" s="1"/>
  <c r="V30" s="1"/>
  <c r="U30" s="1"/>
  <c r="T30" s="1"/>
  <c r="S30" s="1"/>
  <c r="R30" s="1"/>
  <c r="Q30" s="1"/>
  <c r="Y30"/>
  <c r="Z30"/>
  <c r="AA30"/>
  <c r="AB30"/>
  <c r="Q28"/>
  <c r="R28"/>
  <c r="S28"/>
  <c r="T28"/>
  <c r="U28"/>
  <c r="V28"/>
  <c r="W28"/>
  <c r="W31" s="1"/>
  <c r="X28"/>
  <c r="X31" s="1"/>
  <c r="Y28"/>
  <c r="Y31" s="1"/>
  <c r="Z28"/>
  <c r="Z31" s="1"/>
  <c r="AA28"/>
  <c r="AA31" s="1"/>
  <c r="AB28"/>
  <c r="AB31" s="1"/>
  <c r="AC28"/>
  <c r="AC31" s="1"/>
  <c r="AD28"/>
  <c r="AD31" s="1"/>
  <c r="AE28"/>
  <c r="AE31" s="1"/>
  <c r="AF28"/>
  <c r="AF31" s="1"/>
  <c r="AG28"/>
  <c r="AG31" s="1"/>
  <c r="D23" i="21"/>
  <c r="A1" i="26"/>
  <c r="I22" i="23"/>
  <c r="I21"/>
  <c r="I26"/>
  <c r="I25"/>
  <c r="I24"/>
  <c r="I23"/>
  <c r="I18" i="24"/>
  <c r="J18" s="1"/>
  <c r="E19"/>
  <c r="F19" s="1"/>
  <c r="D22"/>
  <c r="I22" s="1"/>
  <c r="J22" s="1"/>
  <c r="D23"/>
  <c r="I23" s="1"/>
  <c r="J23" s="1"/>
  <c r="D24"/>
  <c r="D25"/>
  <c r="D26"/>
  <c r="I26" s="1"/>
  <c r="J26" s="1"/>
  <c r="D27"/>
  <c r="I27" s="1"/>
  <c r="J27" s="1"/>
  <c r="D28"/>
  <c r="D29"/>
  <c r="E29" s="1"/>
  <c r="F29" s="1"/>
  <c r="D30"/>
  <c r="E30" s="1"/>
  <c r="F30" s="1"/>
  <c r="D31"/>
  <c r="I31" s="1"/>
  <c r="J31" s="1"/>
  <c r="D32"/>
  <c r="D33"/>
  <c r="D34"/>
  <c r="I34" s="1"/>
  <c r="J34" s="1"/>
  <c r="D35"/>
  <c r="I35" s="1"/>
  <c r="J35" s="1"/>
  <c r="D36"/>
  <c r="E36" s="1"/>
  <c r="F36" s="1"/>
  <c r="D37"/>
  <c r="E37" s="1"/>
  <c r="F37" s="1"/>
  <c r="D38"/>
  <c r="E38" s="1"/>
  <c r="F38" s="1"/>
  <c r="D39"/>
  <c r="I39" s="1"/>
  <c r="J39" s="1"/>
  <c r="D40"/>
  <c r="D41"/>
  <c r="D42"/>
  <c r="E42" s="1"/>
  <c r="F42" s="1"/>
  <c r="D43"/>
  <c r="E43" s="1"/>
  <c r="F43" s="1"/>
  <c r="F17"/>
  <c r="E32"/>
  <c r="F32" s="1"/>
  <c r="E33"/>
  <c r="F33" s="1"/>
  <c r="E40"/>
  <c r="F40" s="1"/>
  <c r="E41"/>
  <c r="F41" s="1"/>
  <c r="E24"/>
  <c r="F24" s="1"/>
  <c r="E25"/>
  <c r="E28"/>
  <c r="E31"/>
  <c r="E34"/>
  <c r="E35"/>
  <c r="E39"/>
  <c r="I15" i="23"/>
  <c r="I12"/>
  <c r="I14" s="1"/>
  <c r="D16"/>
  <c r="X103" i="14"/>
  <c r="E3" i="21"/>
  <c r="AF13" i="14"/>
  <c r="AF16"/>
  <c r="H76"/>
  <c r="H75"/>
  <c r="H74"/>
  <c r="H73"/>
  <c r="G74"/>
  <c r="G73"/>
  <c r="G76"/>
  <c r="G75"/>
  <c r="F76"/>
  <c r="F75"/>
  <c r="F74"/>
  <c r="F73"/>
  <c r="E65"/>
  <c r="H61"/>
  <c r="H60"/>
  <c r="Q30"/>
  <c r="P7"/>
  <c r="J8"/>
  <c r="J7"/>
  <c r="N55" i="29" l="1"/>
  <c r="S38"/>
  <c r="S39" s="1"/>
  <c r="M54"/>
  <c r="N54" s="1"/>
  <c r="M38"/>
  <c r="M39" s="1"/>
  <c r="M43"/>
  <c r="M44" s="1"/>
  <c r="M49"/>
  <c r="I16" i="24"/>
  <c r="J16" s="1"/>
  <c r="F21"/>
  <c r="E20"/>
  <c r="F16"/>
  <c r="F61"/>
  <c r="F57"/>
  <c r="F45"/>
  <c r="E58"/>
  <c r="I61"/>
  <c r="J61" s="1"/>
  <c r="I45"/>
  <c r="J45" s="1"/>
  <c r="F35"/>
  <c r="E27"/>
  <c r="E23"/>
  <c r="F25"/>
  <c r="E66"/>
  <c r="E50"/>
  <c r="I63"/>
  <c r="J63" s="1"/>
  <c r="I59"/>
  <c r="J59" s="1"/>
  <c r="I55"/>
  <c r="J55" s="1"/>
  <c r="I51"/>
  <c r="J51" s="1"/>
  <c r="I47"/>
  <c r="J47" s="1"/>
  <c r="I43"/>
  <c r="J43" s="1"/>
  <c r="I19"/>
  <c r="J19" s="1"/>
  <c r="F28"/>
  <c r="I60"/>
  <c r="J60" s="1"/>
  <c r="I44"/>
  <c r="J44" s="1"/>
  <c r="E65"/>
  <c r="E49"/>
  <c r="F34"/>
  <c r="E26"/>
  <c r="E22"/>
  <c r="E54"/>
  <c r="I42"/>
  <c r="J42" s="1"/>
  <c r="I38"/>
  <c r="J38" s="1"/>
  <c r="I30"/>
  <c r="J30" s="1"/>
  <c r="F39"/>
  <c r="F31"/>
  <c r="I44" i="8"/>
  <c r="X19"/>
  <c r="W19" s="1"/>
  <c r="V19" s="1"/>
  <c r="U19" s="1"/>
  <c r="T19" s="1"/>
  <c r="S19" s="1"/>
  <c r="R19" s="1"/>
  <c r="Y20"/>
  <c r="C23"/>
  <c r="AH31"/>
  <c r="C39" s="1"/>
  <c r="I18" i="23"/>
  <c r="I19" s="1"/>
  <c r="I13"/>
  <c r="F3" i="21"/>
  <c r="G3"/>
  <c r="H3"/>
  <c r="C4"/>
  <c r="E8"/>
  <c r="F8"/>
  <c r="G8"/>
  <c r="H8"/>
  <c r="I8"/>
  <c r="J8"/>
  <c r="K8"/>
  <c r="L8"/>
  <c r="D16" i="5"/>
  <c r="S37"/>
  <c r="S38" s="1"/>
  <c r="S39" s="1"/>
  <c r="M56"/>
  <c r="N56" s="1"/>
  <c r="M55"/>
  <c r="M59" s="1"/>
  <c r="M54"/>
  <c r="X37"/>
  <c r="X38" s="1"/>
  <c r="X39" s="1"/>
  <c r="M35"/>
  <c r="M46" s="1"/>
  <c r="M38"/>
  <c r="S57"/>
  <c r="S58" s="1"/>
  <c r="X23"/>
  <c r="X24"/>
  <c r="X25"/>
  <c r="X26"/>
  <c r="X27"/>
  <c r="X28"/>
  <c r="X29"/>
  <c r="X22"/>
  <c r="M43"/>
  <c r="M42"/>
  <c r="M41"/>
  <c r="G51" i="14"/>
  <c r="D49"/>
  <c r="G47"/>
  <c r="E47"/>
  <c r="D47"/>
  <c r="Q30" i="7"/>
  <c r="P30"/>
  <c r="O30"/>
  <c r="O31"/>
  <c r="O16" i="19"/>
  <c r="G29"/>
  <c r="I27"/>
  <c r="G21"/>
  <c r="G22" s="1"/>
  <c r="C4" i="16"/>
  <c r="D4"/>
  <c r="E4"/>
  <c r="F4"/>
  <c r="G4"/>
  <c r="H4"/>
  <c r="I4"/>
  <c r="J4"/>
  <c r="K4"/>
  <c r="L4"/>
  <c r="M4"/>
  <c r="N4"/>
  <c r="O4"/>
  <c r="P4"/>
  <c r="Q4"/>
  <c r="R4"/>
  <c r="S4"/>
  <c r="T4"/>
  <c r="U4"/>
  <c r="V4"/>
  <c r="W4"/>
  <c r="X4"/>
  <c r="Y4"/>
  <c r="Z4"/>
  <c r="AH4"/>
  <c r="AG4"/>
  <c r="AF4"/>
  <c r="AE4"/>
  <c r="AD4"/>
  <c r="AC4"/>
  <c r="AB4"/>
  <c r="AA4"/>
  <c r="A79" i="8"/>
  <c r="P45" i="15"/>
  <c r="O45"/>
  <c r="N45"/>
  <c r="M45"/>
  <c r="L45"/>
  <c r="K45"/>
  <c r="J45"/>
  <c r="I45"/>
  <c r="P43"/>
  <c r="O43"/>
  <c r="N43"/>
  <c r="M43"/>
  <c r="L43"/>
  <c r="K43"/>
  <c r="J43"/>
  <c r="I43"/>
  <c r="P33"/>
  <c r="O33"/>
  <c r="N33"/>
  <c r="M33"/>
  <c r="L33"/>
  <c r="K33"/>
  <c r="J33"/>
  <c r="I33"/>
  <c r="P31"/>
  <c r="O31"/>
  <c r="N31"/>
  <c r="M31"/>
  <c r="L31"/>
  <c r="K31"/>
  <c r="J31"/>
  <c r="I31"/>
  <c r="P29"/>
  <c r="O29"/>
  <c r="N29"/>
  <c r="M29"/>
  <c r="L29"/>
  <c r="K29"/>
  <c r="J29"/>
  <c r="I29"/>
  <c r="P25"/>
  <c r="O25"/>
  <c r="N25"/>
  <c r="M25"/>
  <c r="L25"/>
  <c r="K25"/>
  <c r="J25"/>
  <c r="I25"/>
  <c r="P23"/>
  <c r="O23"/>
  <c r="N23"/>
  <c r="M23"/>
  <c r="L23"/>
  <c r="K23"/>
  <c r="J23"/>
  <c r="I23"/>
  <c r="P21"/>
  <c r="O21"/>
  <c r="N21"/>
  <c r="M21"/>
  <c r="L21"/>
  <c r="K21"/>
  <c r="J21"/>
  <c r="I21"/>
  <c r="A34"/>
  <c r="A16"/>
  <c r="A18" s="1"/>
  <c r="A20" s="1"/>
  <c r="A22" s="1"/>
  <c r="A24" s="1"/>
  <c r="A26" s="1"/>
  <c r="A28" s="1"/>
  <c r="A30" s="1"/>
  <c r="A32" s="1"/>
  <c r="I8"/>
  <c r="P51"/>
  <c r="O51"/>
  <c r="N51"/>
  <c r="M51"/>
  <c r="L51"/>
  <c r="K51"/>
  <c r="J51"/>
  <c r="I51"/>
  <c r="P49"/>
  <c r="O49"/>
  <c r="N49"/>
  <c r="M49"/>
  <c r="L49"/>
  <c r="K49"/>
  <c r="J49"/>
  <c r="I49"/>
  <c r="P47"/>
  <c r="O47"/>
  <c r="N47"/>
  <c r="M47"/>
  <c r="L47"/>
  <c r="K47"/>
  <c r="J47"/>
  <c r="I47"/>
  <c r="P41"/>
  <c r="O41"/>
  <c r="N41"/>
  <c r="M41"/>
  <c r="L41"/>
  <c r="K41"/>
  <c r="J41"/>
  <c r="I41"/>
  <c r="P39"/>
  <c r="O39"/>
  <c r="N39"/>
  <c r="M39"/>
  <c r="L39"/>
  <c r="K39"/>
  <c r="J39"/>
  <c r="I39"/>
  <c r="P37"/>
  <c r="O37"/>
  <c r="N37"/>
  <c r="M37"/>
  <c r="L37"/>
  <c r="K37"/>
  <c r="J37"/>
  <c r="I37"/>
  <c r="P35"/>
  <c r="O35"/>
  <c r="N35"/>
  <c r="M35"/>
  <c r="L35"/>
  <c r="K35"/>
  <c r="J35"/>
  <c r="I35"/>
  <c r="P27"/>
  <c r="O27"/>
  <c r="N27"/>
  <c r="M27"/>
  <c r="L27"/>
  <c r="K27"/>
  <c r="J27"/>
  <c r="I27"/>
  <c r="P19"/>
  <c r="O19"/>
  <c r="N19"/>
  <c r="M19"/>
  <c r="L19"/>
  <c r="K19"/>
  <c r="J19"/>
  <c r="I19"/>
  <c r="P17"/>
  <c r="O17"/>
  <c r="N17"/>
  <c r="M17"/>
  <c r="L17"/>
  <c r="K17"/>
  <c r="J17"/>
  <c r="I17"/>
  <c r="P15"/>
  <c r="O15"/>
  <c r="N15"/>
  <c r="M15"/>
  <c r="L15"/>
  <c r="K15"/>
  <c r="J15"/>
  <c r="I15"/>
  <c r="P13"/>
  <c r="O13"/>
  <c r="N13"/>
  <c r="M13"/>
  <c r="L13"/>
  <c r="K13"/>
  <c r="J13"/>
  <c r="I13"/>
  <c r="I11"/>
  <c r="J11"/>
  <c r="K11"/>
  <c r="L11"/>
  <c r="M11"/>
  <c r="N11"/>
  <c r="O11"/>
  <c r="P11"/>
  <c r="Q23" i="14"/>
  <c r="Q22"/>
  <c r="P9"/>
  <c r="R9"/>
  <c r="P11"/>
  <c r="R11"/>
  <c r="S7"/>
  <c r="Q7"/>
  <c r="O8"/>
  <c r="O9"/>
  <c r="O10"/>
  <c r="O11"/>
  <c r="O12"/>
  <c r="O7"/>
  <c r="N8"/>
  <c r="Q8" s="1"/>
  <c r="N9"/>
  <c r="Q9" s="1"/>
  <c r="N10"/>
  <c r="Q10" s="1"/>
  <c r="N11"/>
  <c r="Q11" s="1"/>
  <c r="N12"/>
  <c r="Q12" s="1"/>
  <c r="N7"/>
  <c r="R7" s="1"/>
  <c r="K5" i="13"/>
  <c r="K6" s="1"/>
  <c r="L5"/>
  <c r="L6" s="1"/>
  <c r="M5"/>
  <c r="M6" s="1"/>
  <c r="N5"/>
  <c r="O5"/>
  <c r="P5"/>
  <c r="P6" s="1"/>
  <c r="Q5"/>
  <c r="R5"/>
  <c r="S5"/>
  <c r="T5"/>
  <c r="T6" s="1"/>
  <c r="U5"/>
  <c r="U6" s="1"/>
  <c r="V5"/>
  <c r="V6" s="1"/>
  <c r="W5"/>
  <c r="W6" s="1"/>
  <c r="X5"/>
  <c r="X6" s="1"/>
  <c r="Y5"/>
  <c r="O6"/>
  <c r="S6"/>
  <c r="Q6"/>
  <c r="Y6"/>
  <c r="Z5"/>
  <c r="Z6" s="1"/>
  <c r="C4"/>
  <c r="D4"/>
  <c r="E4"/>
  <c r="F4"/>
  <c r="G4"/>
  <c r="H4"/>
  <c r="I4"/>
  <c r="J4"/>
  <c r="K4"/>
  <c r="L4"/>
  <c r="M4"/>
  <c r="N4"/>
  <c r="O4"/>
  <c r="P4"/>
  <c r="Q4"/>
  <c r="R4"/>
  <c r="S4"/>
  <c r="T4"/>
  <c r="U4"/>
  <c r="V4"/>
  <c r="W4"/>
  <c r="X4"/>
  <c r="Y4"/>
  <c r="Z4"/>
  <c r="I5"/>
  <c r="J5"/>
  <c r="J6" s="1"/>
  <c r="N6"/>
  <c r="R6"/>
  <c r="I6"/>
  <c r="F44" i="8"/>
  <c r="F72"/>
  <c r="F61"/>
  <c r="F62" s="1"/>
  <c r="Q55" i="29" l="1"/>
  <c r="M59"/>
  <c r="F20" i="24"/>
  <c r="O16"/>
  <c r="F22"/>
  <c r="F18"/>
  <c r="F65"/>
  <c r="F58"/>
  <c r="F49"/>
  <c r="F66"/>
  <c r="F26"/>
  <c r="F50"/>
  <c r="F27"/>
  <c r="F23"/>
  <c r="F54"/>
  <c r="AH20" i="8"/>
  <c r="C38" s="1"/>
  <c r="F27" s="1"/>
  <c r="F28" s="1"/>
  <c r="S20"/>
  <c r="F67"/>
  <c r="F68"/>
  <c r="F63"/>
  <c r="F64" s="1"/>
  <c r="F65" s="1"/>
  <c r="R12" i="14"/>
  <c r="R10"/>
  <c r="R8"/>
  <c r="S12"/>
  <c r="S11"/>
  <c r="S10"/>
  <c r="S9"/>
  <c r="S8"/>
  <c r="P12"/>
  <c r="P10"/>
  <c r="P8"/>
  <c r="N54" i="5"/>
  <c r="N55"/>
  <c r="M39"/>
  <c r="M50"/>
  <c r="M44"/>
  <c r="M49"/>
  <c r="AK3" i="16"/>
  <c r="AK4" s="1"/>
  <c r="S28" i="15"/>
  <c r="S29" s="1"/>
  <c r="G28" s="1"/>
  <c r="S30"/>
  <c r="S31" s="1"/>
  <c r="G30" s="1"/>
  <c r="S32"/>
  <c r="S33" s="1"/>
  <c r="G32" s="1"/>
  <c r="S24"/>
  <c r="S25" s="1"/>
  <c r="G24" s="1"/>
  <c r="S22"/>
  <c r="S23" s="1"/>
  <c r="G22" s="1"/>
  <c r="S20"/>
  <c r="S21" s="1"/>
  <c r="G20" s="1"/>
  <c r="A36"/>
  <c r="A38" s="1"/>
  <c r="A40" s="1"/>
  <c r="A42" s="1"/>
  <c r="A44" s="1"/>
  <c r="A46" s="1"/>
  <c r="A48" s="1"/>
  <c r="A50" s="1"/>
  <c r="A52" s="1"/>
  <c r="A54" s="1"/>
  <c r="A56" s="1"/>
  <c r="A58" s="1"/>
  <c r="A60" s="1"/>
  <c r="A62" s="1"/>
  <c r="A64" s="1"/>
  <c r="A66" s="1"/>
  <c r="A68" s="1"/>
  <c r="A70" s="1"/>
  <c r="A72" s="1"/>
  <c r="A74" s="1"/>
  <c r="A76" s="1"/>
  <c r="A78" s="1"/>
  <c r="A80" s="1"/>
  <c r="A82" s="1"/>
  <c r="A84" s="1"/>
  <c r="S64"/>
  <c r="S65" s="1"/>
  <c r="G64" s="1"/>
  <c r="S72"/>
  <c r="S73" s="1"/>
  <c r="G72" s="1"/>
  <c r="S80"/>
  <c r="S81" s="1"/>
  <c r="G80" s="1"/>
  <c r="S52"/>
  <c r="S53" s="1"/>
  <c r="G52" s="1"/>
  <c r="S60"/>
  <c r="S61" s="1"/>
  <c r="G60" s="1"/>
  <c r="S50"/>
  <c r="S51" s="1"/>
  <c r="G50" s="1"/>
  <c r="S34"/>
  <c r="S35" s="1"/>
  <c r="G34" s="1"/>
  <c r="S62"/>
  <c r="S63" s="1"/>
  <c r="G62" s="1"/>
  <c r="S56"/>
  <c r="S57" s="1"/>
  <c r="G56" s="1"/>
  <c r="S78"/>
  <c r="S79" s="1"/>
  <c r="G78" s="1"/>
  <c r="G82"/>
  <c r="G84"/>
  <c r="S42"/>
  <c r="S43" s="1"/>
  <c r="G42" s="1"/>
  <c r="S46"/>
  <c r="S47" s="1"/>
  <c r="G46" s="1"/>
  <c r="S48"/>
  <c r="S49" s="1"/>
  <c r="G48" s="1"/>
  <c r="S12"/>
  <c r="S13" s="1"/>
  <c r="G12" s="1"/>
  <c r="S26"/>
  <c r="S27" s="1"/>
  <c r="G26" s="1"/>
  <c r="S58"/>
  <c r="S59" s="1"/>
  <c r="G58" s="1"/>
  <c r="S66"/>
  <c r="S67" s="1"/>
  <c r="G66" s="1"/>
  <c r="S68"/>
  <c r="S69" s="1"/>
  <c r="G68" s="1"/>
  <c r="S54"/>
  <c r="S55" s="1"/>
  <c r="G54" s="1"/>
  <c r="S36"/>
  <c r="S37" s="1"/>
  <c r="G36" s="1"/>
  <c r="S44"/>
  <c r="S45" s="1"/>
  <c r="G44" s="1"/>
  <c r="S70"/>
  <c r="S71" s="1"/>
  <c r="G70" s="1"/>
  <c r="S74"/>
  <c r="S75" s="1"/>
  <c r="G74" s="1"/>
  <c r="S76"/>
  <c r="S77" s="1"/>
  <c r="G76" s="1"/>
  <c r="S40"/>
  <c r="S41" s="1"/>
  <c r="G40" s="1"/>
  <c r="S38"/>
  <c r="S39" s="1"/>
  <c r="G38" s="1"/>
  <c r="S18"/>
  <c r="S19" s="1"/>
  <c r="G18" s="1"/>
  <c r="S16"/>
  <c r="S17" s="1"/>
  <c r="G16" s="1"/>
  <c r="S14"/>
  <c r="S15" s="1"/>
  <c r="G14" s="1"/>
  <c r="S10"/>
  <c r="S11" s="1"/>
  <c r="G10" s="1"/>
  <c r="AD4" i="13"/>
  <c r="AD6"/>
  <c r="F71" i="8"/>
  <c r="F29" l="1"/>
  <c r="F30" s="1"/>
  <c r="F31" s="1"/>
  <c r="F69"/>
  <c r="F70" s="1"/>
  <c r="F73"/>
  <c r="F77" s="1"/>
  <c r="F33" l="1"/>
  <c r="F35" s="1"/>
  <c r="F75"/>
  <c r="F76" s="1"/>
  <c r="F78" s="1"/>
  <c r="F40" l="1"/>
  <c r="F39"/>
  <c r="F34"/>
  <c r="F36" s="1"/>
  <c r="F37" s="1"/>
  <c r="F41" l="1"/>
  <c r="F42" s="1"/>
  <c r="F43"/>
  <c r="F45" l="1"/>
  <c r="F47" s="1"/>
  <c r="F49" l="1"/>
  <c r="F48"/>
  <c r="F50" l="1"/>
</calcChain>
</file>

<file path=xl/sharedStrings.xml><?xml version="1.0" encoding="utf-8"?>
<sst xmlns="http://schemas.openxmlformats.org/spreadsheetml/2006/main" count="880" uniqueCount="549">
  <si>
    <t>i2c</t>
  </si>
  <si>
    <t>radio</t>
  </si>
  <si>
    <t>BMP180</t>
  </si>
  <si>
    <t>https://www.proto-pic.co.uk/sparkfun-barometric-pressure-sensor-breakout-bmp180.html</t>
  </si>
  <si>
    <t>https://store.uputronics.com/?route=product/product&amp;product_id=83</t>
  </si>
  <si>
    <t>A0</t>
  </si>
  <si>
    <t>A1</t>
  </si>
  <si>
    <t>A2</t>
  </si>
  <si>
    <t>A3</t>
  </si>
  <si>
    <t>A4</t>
  </si>
  <si>
    <t>D1</t>
  </si>
  <si>
    <t>A5</t>
  </si>
  <si>
    <t>A6</t>
  </si>
  <si>
    <t>A7</t>
  </si>
  <si>
    <t>I2C - SCL</t>
  </si>
  <si>
    <t>I2C - SDA</t>
  </si>
  <si>
    <t>D0</t>
  </si>
  <si>
    <t>H/W Serial RX</t>
  </si>
  <si>
    <t>H/W Serial TX</t>
  </si>
  <si>
    <t>D2</t>
  </si>
  <si>
    <t>D4</t>
  </si>
  <si>
    <t>D7</t>
  </si>
  <si>
    <t>D8</t>
  </si>
  <si>
    <t>D12</t>
  </si>
  <si>
    <t>D13</t>
  </si>
  <si>
    <t>S/W Serial RX</t>
  </si>
  <si>
    <t>S/W Serial TX</t>
  </si>
  <si>
    <t>https://store.uputronics.com/index.php?route=product/product&amp;path=61&amp;product_id=60</t>
  </si>
  <si>
    <t>total</t>
  </si>
  <si>
    <t>https://www.proto-pic.co.uk/microsd-card-breakout-board.html</t>
  </si>
  <si>
    <t xml:space="preserve">totorial: </t>
  </si>
  <si>
    <t>https://learn.adafruit.com/adafruit-micro-sd-breakout-board-card-tutorial</t>
  </si>
  <si>
    <t xml:space="preserve">tutorial: </t>
  </si>
  <si>
    <t>https://ukhas.org.uk/guides:linkingarduinotontx2</t>
  </si>
  <si>
    <t>datasheet:</t>
  </si>
  <si>
    <t>http://www.radiometrix.com/files/additional/NTX2B.pdf</t>
  </si>
  <si>
    <t>store:</t>
  </si>
  <si>
    <t>price:</t>
  </si>
  <si>
    <t>https://www.arduino.cc/en/Main/ArduinoBoardProMini</t>
  </si>
  <si>
    <t xml:space="preserve">store: </t>
  </si>
  <si>
    <t>https://www.proto-pic.co.uk/arduino-pro-mini-328-33v8mhznew.html</t>
  </si>
  <si>
    <t>D3 (PWM)</t>
  </si>
  <si>
    <t>D5 (PWM)</t>
  </si>
  <si>
    <t>D6 (PWM)</t>
  </si>
  <si>
    <t>D9 (PWM)</t>
  </si>
  <si>
    <t>D10 (PWM)</t>
  </si>
  <si>
    <t>D11 (PWM)</t>
  </si>
  <si>
    <t>SPI "MOSI"</t>
  </si>
  <si>
    <t>SPI "MISO"</t>
  </si>
  <si>
    <t>SPI "SCK"</t>
  </si>
  <si>
    <t>Pin no</t>
  </si>
  <si>
    <t>Pin function</t>
  </si>
  <si>
    <t>Connects to</t>
  </si>
  <si>
    <t>http://datasheets.maximintegrated.com/en/ds/DS18B20.pdf</t>
  </si>
  <si>
    <t>tutorial:</t>
  </si>
  <si>
    <t>http://bildr.org/2011/07/ds18b20-arduino/</t>
  </si>
  <si>
    <t>https://www.proto-pic.co.uk/one-wire-digital-temperature-sensor-ds18b20.html</t>
  </si>
  <si>
    <t>http://cdn.sparkfun.com/datasheets/Sensors/Pressure/BMP180.pdf</t>
  </si>
  <si>
    <t>https://learn.sparkfun.com/tutorials/bmp180-barometric-pressure-sensor-hookup-</t>
  </si>
  <si>
    <t xml:space="preserve">cost: </t>
  </si>
  <si>
    <t>https://www.proto-pic.co.uk/triple-axis-accelerometer-breakout-new-adxl345.html</t>
  </si>
  <si>
    <t>https://www.sparkfun.com/datasheets/Sensors/Accelerometer/ADXL345.pdf</t>
  </si>
  <si>
    <t>https://www.sparkfun.com/tutorials/240</t>
  </si>
  <si>
    <t>interface:</t>
  </si>
  <si>
    <t>I2C</t>
  </si>
  <si>
    <t>Interface:</t>
  </si>
  <si>
    <t>OneWire</t>
  </si>
  <si>
    <t>https://learn.sparkfun.com/tutorials/htu21d-humidity-sensor-hookup-guide</t>
  </si>
  <si>
    <t>https://www.proto-pic.co.uk/sparkfun-humidity-and-temperature-sensor-breakout-htu21d.html</t>
  </si>
  <si>
    <t>http://cdn.sparkfun.com/datasheets/BreakoutBoards/HTU21D.pdf</t>
  </si>
  <si>
    <t>https://www.proto-pic.co.uk/triple-axis-magnetometer-breakout-hmc5883l.html</t>
  </si>
  <si>
    <t>https://dlnmh9ip6v2uc.cloudfront.net/datasheets/Sensors/Magneto/HMC5883L-FDS.pdf</t>
  </si>
  <si>
    <t>https://www.sparkfun.com/tutorials/301</t>
  </si>
  <si>
    <t>cost:</t>
  </si>
  <si>
    <t>https://www.proto-pic.co.uk/breakout-board-for-microsd-transflash.html</t>
  </si>
  <si>
    <t>https://developer.mbed.org/cookbook/SD-Card-File-System</t>
  </si>
  <si>
    <t>https://learn.sparkfun.com/tutorials/microsd-shield-and-sd-breakout-hookup-guide</t>
  </si>
  <si>
    <t>tutorials:</t>
  </si>
  <si>
    <t>https://dl.dropboxusercontent.com/u/63720513/HAB%20Supplies%20Datasheets/HAB-BO-M8Q.pdf</t>
  </si>
  <si>
    <t>http://ava.upuaut.net/?p=738</t>
  </si>
  <si>
    <t>https://www.coolcomponents.co.uk/arduino-pro-mini-328-5v-16mhz.html</t>
  </si>
  <si>
    <t>9.23 (proto-pic); £8.53 (cool-comp)</t>
  </si>
  <si>
    <t>http://www.whizzy.org/2015/06/howto-very-low-power-usage-on-pro-mini-v2-arduino-clone/</t>
  </si>
  <si>
    <r>
      <t>volt_bridge</t>
    </r>
    <r>
      <rPr>
        <sz val="12"/>
        <color rgb="FF00B050"/>
        <rFont val="Calibri"/>
        <family val="2"/>
        <scheme val="minor"/>
      </rPr>
      <t xml:space="preserve"> (can be any anlg pin)</t>
    </r>
  </si>
  <si>
    <r>
      <t xml:space="preserve">i2c "SDA" pin </t>
    </r>
    <r>
      <rPr>
        <sz val="12"/>
        <color rgb="FFFF0000"/>
        <rFont val="Calibri"/>
        <family val="2"/>
        <scheme val="minor"/>
      </rPr>
      <t>(must be A4)</t>
    </r>
  </si>
  <si>
    <r>
      <t xml:space="preserve">i2c "SCL" pin </t>
    </r>
    <r>
      <rPr>
        <sz val="12"/>
        <color rgb="FFFF0000"/>
        <rFont val="Calibri"/>
        <family val="2"/>
        <scheme val="minor"/>
      </rPr>
      <t>(must be A5)</t>
    </r>
  </si>
  <si>
    <r>
      <t>ntx2 "TXD" pin</t>
    </r>
    <r>
      <rPr>
        <sz val="12"/>
        <color rgb="FF00B050"/>
        <rFont val="Calibri"/>
        <family val="2"/>
        <scheme val="minor"/>
      </rPr>
      <t xml:space="preserve"> (can be any PWM pin)</t>
    </r>
  </si>
  <si>
    <t>https://learn.sparkfun.com/tutorials/using-the-arduino-pro-mini-33v</t>
  </si>
  <si>
    <t>RAW</t>
  </si>
  <si>
    <t>power supply&gt;3v</t>
  </si>
  <si>
    <t>ca1</t>
  </si>
  <si>
    <t>ac2</t>
  </si>
  <si>
    <t>ac3</t>
  </si>
  <si>
    <t>ac4</t>
  </si>
  <si>
    <t>ac5</t>
  </si>
  <si>
    <t>ac6</t>
  </si>
  <si>
    <t>b1</t>
  </si>
  <si>
    <t>b2</t>
  </si>
  <si>
    <t>mb</t>
  </si>
  <si>
    <t>mc</t>
  </si>
  <si>
    <t>md</t>
  </si>
  <si>
    <t>ut</t>
  </si>
  <si>
    <t>x1</t>
  </si>
  <si>
    <t>x2</t>
  </si>
  <si>
    <t>b5</t>
  </si>
  <si>
    <t>t</t>
  </si>
  <si>
    <t>temp</t>
  </si>
  <si>
    <t>b6</t>
  </si>
  <si>
    <t>x3</t>
  </si>
  <si>
    <t>b3</t>
  </si>
  <si>
    <t>oss</t>
  </si>
  <si>
    <t>b4</t>
  </si>
  <si>
    <t>b7</t>
  </si>
  <si>
    <t>up</t>
  </si>
  <si>
    <t>prss</t>
  </si>
  <si>
    <r>
      <t>ds18b20 "DQ" pin</t>
    </r>
    <r>
      <rPr>
        <sz val="12"/>
        <color rgb="FF00B050"/>
        <rFont val="Calibri"/>
        <family val="2"/>
        <scheme val="minor"/>
      </rPr>
      <t xml:space="preserve"> (can be any digital pin)</t>
    </r>
  </si>
  <si>
    <t>https://ukhas.org.uk/guides:ublox6</t>
  </si>
  <si>
    <t>https://ukhas.org.uk/ideas:power_supply</t>
  </si>
  <si>
    <t>Energizer L92 datasheet</t>
  </si>
  <si>
    <t>http://data.energizer.com/PDFs/l92.pdf</t>
  </si>
  <si>
    <t>If -20deC is typical, datasheet indicates L92 battery has 800mAh</t>
  </si>
  <si>
    <t>Batts</t>
  </si>
  <si>
    <t>mAh</t>
  </si>
  <si>
    <t>volts</t>
  </si>
  <si>
    <t>500mA</t>
  </si>
  <si>
    <t>400mA</t>
  </si>
  <si>
    <t>300mA</t>
  </si>
  <si>
    <t>200mA</t>
  </si>
  <si>
    <t>run time with xxxmA current draw</t>
  </si>
  <si>
    <t>component</t>
  </si>
  <si>
    <t>pro mini</t>
  </si>
  <si>
    <t>ADXL345</t>
  </si>
  <si>
    <t>uBlox</t>
  </si>
  <si>
    <t>SD card</t>
  </si>
  <si>
    <t>unmodified using voltage regulator</t>
  </si>
  <si>
    <t>http://www.home-automation-community.com/arduino-low-power-how-to-run-atmega328p-for-a-year-on-coin-cell-battery/</t>
  </si>
  <si>
    <t>assume middle-ish, low data rate</t>
  </si>
  <si>
    <t>https://cdn-shop.adafruit.com/datasheets/BST-BMP180-DS000-09.pdf</t>
  </si>
  <si>
    <t>ublow</t>
  </si>
  <si>
    <t>https://www.u-blox.com/sites/default/files/MAX-M8-FW3_DataSheet_(UBX-15031506).pdf</t>
  </si>
  <si>
    <t>power save mode, 1Hz</t>
  </si>
  <si>
    <t>no source, just arduino forum &lt;-- probably peak, average much lower</t>
  </si>
  <si>
    <t>pro-min voltage regulator is MIC5205</t>
  </si>
  <si>
    <t>Datasheet</t>
  </si>
  <si>
    <t>http://ww1.microchip.com/downloads/en/DeviceDoc/mic5205.pdf</t>
  </si>
  <si>
    <t>Hence minimum operational voltage is 2.5v</t>
  </si>
  <si>
    <t>arduino</t>
  </si>
  <si>
    <t>ATmega328 datasheet</t>
  </si>
  <si>
    <t>http://www.atmel.com/images/Atmel-8271-8-bit-AVR-Microcontroller-ATmega48A-48PA-88A-88PA-168A-168PA-328-328P_datasheet_Complete.pdf</t>
  </si>
  <si>
    <t>NMEA prefixes</t>
  </si>
  <si>
    <t>http://catb.org/gpsd/NMEA.html</t>
  </si>
  <si>
    <t>NMEA sentences</t>
  </si>
  <si>
    <t>http://aprs.gids.nl/nmea/#gga</t>
  </si>
  <si>
    <t>tinygps++</t>
  </si>
  <si>
    <t>http://arduiniana.org/libraries/tinygpsplus/</t>
  </si>
  <si>
    <t>https://www.u-blox.com/sites/default/files/products/documents/u-blox8-M8_ReceiverDescrProtSpec_%28UBX-13003221%29_Public.pdf?utm_source=en/images/downloads/Product_Docs/u-bloxM8_ReceiverDescriptionProtocolSpec_%28UBX-13003221%29_Public.pdf</t>
  </si>
  <si>
    <t>dyn</t>
  </si>
  <si>
    <t>UBX-CFG-NAV5 (0x06 0x24)</t>
  </si>
  <si>
    <t>DEC</t>
  </si>
  <si>
    <t>HEX</t>
  </si>
  <si>
    <t>dynModel</t>
  </si>
  <si>
    <t>fixMode</t>
  </si>
  <si>
    <t>byte</t>
  </si>
  <si>
    <t>address 1</t>
  </si>
  <si>
    <t>0xB5</t>
  </si>
  <si>
    <t>address2</t>
  </si>
  <si>
    <t>0x62</t>
  </si>
  <si>
    <t>class</t>
  </si>
  <si>
    <t>0x06</t>
  </si>
  <si>
    <t>ID</t>
  </si>
  <si>
    <t>0x24</t>
  </si>
  <si>
    <t>Length1</t>
  </si>
  <si>
    <t>Length2</t>
  </si>
  <si>
    <t>0x00</t>
  </si>
  <si>
    <t>mask1</t>
  </si>
  <si>
    <t>minElev</t>
  </si>
  <si>
    <t>drLimit</t>
  </si>
  <si>
    <t>pDop1</t>
  </si>
  <si>
    <t>pDop2</t>
  </si>
  <si>
    <t>tDop1</t>
  </si>
  <si>
    <t>tDop2</t>
  </si>
  <si>
    <t>pAcc1</t>
  </si>
  <si>
    <t>pAcc2</t>
  </si>
  <si>
    <t>tAcc1</t>
  </si>
  <si>
    <t>tAcc2</t>
  </si>
  <si>
    <t>staticHoldThresh</t>
  </si>
  <si>
    <t>dgpsTimeout</t>
  </si>
  <si>
    <t>cnoThreshNumSVs</t>
  </si>
  <si>
    <t>cnoThresh</t>
  </si>
  <si>
    <t>pAccAdr1</t>
  </si>
  <si>
    <t>pAccAdr2</t>
  </si>
  <si>
    <t>staticHoldMaxDist1</t>
  </si>
  <si>
    <t>staticHoldMaxDist2</t>
  </si>
  <si>
    <t>fixedAlt1</t>
  </si>
  <si>
    <t>fixedAlt2</t>
  </si>
  <si>
    <t>fixedAlt3</t>
  </si>
  <si>
    <t>fixedAlt4</t>
  </si>
  <si>
    <t>fixedAltVar2</t>
  </si>
  <si>
    <t>fixedAltVar3</t>
  </si>
  <si>
    <t>fixedAltVar4</t>
  </si>
  <si>
    <t>fixedAltVar1</t>
  </si>
  <si>
    <t>reserved3_1</t>
  </si>
  <si>
    <t>reserved3_2</t>
  </si>
  <si>
    <t>reserved4_1</t>
  </si>
  <si>
    <t>reserved4_2</t>
  </si>
  <si>
    <t>reserved4_3</t>
  </si>
  <si>
    <t>reserved4_4</t>
  </si>
  <si>
    <t>checksum1</t>
  </si>
  <si>
    <t>checksum2</t>
  </si>
  <si>
    <t>0x16</t>
  </si>
  <si>
    <t>0xDC</t>
  </si>
  <si>
    <t>unmasked</t>
  </si>
  <si>
    <t>mode 6</t>
  </si>
  <si>
    <t>fix mode auto</t>
  </si>
  <si>
    <t>set to zero</t>
  </si>
  <si>
    <t>dont understand</t>
  </si>
  <si>
    <t>default value</t>
  </si>
  <si>
    <t>example coommands</t>
  </si>
  <si>
    <t>https://ukhas.org.uk/guides:falcom_fsa03</t>
  </si>
  <si>
    <r>
      <t>Ublox "RX" pin</t>
    </r>
    <r>
      <rPr>
        <sz val="12"/>
        <color rgb="FFFF0000"/>
        <rFont val="Calibri"/>
        <family val="2"/>
        <scheme val="minor"/>
      </rPr>
      <t xml:space="preserve"> (must be D1)</t>
    </r>
  </si>
  <si>
    <r>
      <t>Ublox "TX" pin</t>
    </r>
    <r>
      <rPr>
        <sz val="12"/>
        <color rgb="FFFF0000"/>
        <rFont val="Calibri"/>
        <family val="2"/>
        <scheme val="minor"/>
      </rPr>
      <t xml:space="preserve"> (must be D0)</t>
    </r>
  </si>
  <si>
    <t>-7357*H44/65536</t>
  </si>
  <si>
    <t>https://learn.sparkfun.com/tutorials/ftdi-smartbasic-hookup-guide</t>
  </si>
  <si>
    <t>https://cdn.sparkfun.com/datasheets/BreakoutBoards/DS_FT232R.pdf</t>
  </si>
  <si>
    <t>http://www.hobbytronics.co.uk/ft232rl-breakout-2?keyword=FT232R</t>
  </si>
  <si>
    <t>serial</t>
  </si>
  <si>
    <t>https://cdn.sparkfun.com/datasheets/BreakoutBoards/FT232R-Breakout_v37.pdf</t>
  </si>
  <si>
    <t>https://learn.sparkfun.com/tutorials/openlog-hookup-guide</t>
  </si>
  <si>
    <t>http://www.hobbytronics.co.uk/openlog-datalogger?keyword=openlog</t>
  </si>
  <si>
    <t>https://github.com/sparkfun/OpenLog/wiki/Datasheet</t>
  </si>
  <si>
    <t>https://github.com/sparkfun/OpenLog/wiki</t>
  </si>
  <si>
    <t>openlog RXI; FT232 RXI</t>
  </si>
  <si>
    <t>RAW goes through voltage regulator</t>
  </si>
  <si>
    <t>tested with power supply; min volts through raw pin is just under 2.5v</t>
  </si>
  <si>
    <t>Vin max</t>
  </si>
  <si>
    <t>5v</t>
  </si>
  <si>
    <t>Vout max</t>
  </si>
  <si>
    <t>3.3v</t>
  </si>
  <si>
    <t>vin</t>
  </si>
  <si>
    <t>R1</t>
  </si>
  <si>
    <t>R2</t>
  </si>
  <si>
    <t>R1+R2</t>
  </si>
  <si>
    <t>Vout</t>
  </si>
  <si>
    <t>digital max</t>
  </si>
  <si>
    <t>@</t>
  </si>
  <si>
    <t>reading</t>
  </si>
  <si>
    <t>https://ukhas.org.uk/communication:protocol?s[]=checksum</t>
  </si>
  <si>
    <t>https://rlogiacco.wordpress.com/2015/03/04/arduino-analogread-pitfalls/</t>
  </si>
  <si>
    <t>https://hackingmajenkoblog.wordpress.com/2016/02/01/making-accurate-adc-readings-on-the-arduino/</t>
  </si>
  <si>
    <t>https://www.gammon.com.au/adc</t>
  </si>
  <si>
    <t>openlog BLK</t>
  </si>
  <si>
    <t>openlog TXI</t>
  </si>
  <si>
    <t>aerial info</t>
  </si>
  <si>
    <t>https://ukhas.org.uk/guides:payload_antenna</t>
  </si>
  <si>
    <t>open log drops out under 2.8v measured vcc at adc</t>
  </si>
  <si>
    <t>https://ukhas.org.uk/guides:tracking_guide</t>
  </si>
  <si>
    <t>http://www.w1hkj.com/FldigiHelp/index.html</t>
  </si>
  <si>
    <t>http://ava.upuaut.net/?p=617</t>
  </si>
  <si>
    <t>Arduino Voltage</t>
  </si>
  <si>
    <t>Vcc</t>
  </si>
  <si>
    <t>Target shift</t>
  </si>
  <si>
    <t>dF</t>
  </si>
  <si>
    <t>Hz</t>
  </si>
  <si>
    <t>Required volt shift</t>
  </si>
  <si>
    <t>dV</t>
  </si>
  <si>
    <t>Required PWM shift</t>
  </si>
  <si>
    <t>dPWM</t>
  </si>
  <si>
    <t>max NTX input volts</t>
  </si>
  <si>
    <t>Vmax</t>
  </si>
  <si>
    <t>steps</t>
  </si>
  <si>
    <t>max no steps</t>
  </si>
  <si>
    <t>Theory</t>
  </si>
  <si>
    <t>volts at 100 steps</t>
  </si>
  <si>
    <t>volts at 110 steps</t>
  </si>
  <si>
    <t>https://ukhas.org.uk/projects:dl-fldigi</t>
  </si>
  <si>
    <t>volts/Hz</t>
  </si>
  <si>
    <t>Hz/volt</t>
  </si>
  <si>
    <t>MHz</t>
  </si>
  <si>
    <t>baud rate delays</t>
  </si>
  <si>
    <t>delay (micro_s)</t>
  </si>
  <si>
    <t xml:space="preserve">Freq @ </t>
  </si>
  <si>
    <t xml:space="preserve">// measured with anal pin 255 </t>
  </si>
  <si>
    <t xml:space="preserve">// measured with anal pin 0 </t>
  </si>
  <si>
    <t>frequency band</t>
  </si>
  <si>
    <t>Hz/step</t>
  </si>
  <si>
    <t>volts per step</t>
  </si>
  <si>
    <t>NTX2 volts/hertz</t>
  </si>
  <si>
    <t>Target mid-band freq</t>
  </si>
  <si>
    <t>Target mid-band steps</t>
  </si>
  <si>
    <t>Target mid-band volts</t>
  </si>
  <si>
    <t>volts/step</t>
  </si>
  <si>
    <t>Target upper-band freq</t>
  </si>
  <si>
    <t>Target lower-band freq</t>
  </si>
  <si>
    <t>delta</t>
  </si>
  <si>
    <t>// calculated</t>
  </si>
  <si>
    <t>Error_code</t>
  </si>
  <si>
    <t>Bit Number</t>
  </si>
  <si>
    <t>error name</t>
  </si>
  <si>
    <t>Energizer L91 datasheet</t>
  </si>
  <si>
    <t>http://data.energizer.com/PDFs/l91.pdf</t>
  </si>
  <si>
    <t>mAh@-20deC</t>
  </si>
  <si>
    <t>assuming 250mA drain</t>
  </si>
  <si>
    <t xml:space="preserve">runtime </t>
  </si>
  <si>
    <t>on 2 batts</t>
  </si>
  <si>
    <t>openlog</t>
  </si>
  <si>
    <t>current [mA]</t>
  </si>
  <si>
    <t>15grams</t>
  </si>
  <si>
    <t>7.6grams</t>
  </si>
  <si>
    <t xml:space="preserve">start voltage </t>
  </si>
  <si>
    <t>AAA</t>
  </si>
  <si>
    <t>1.76v</t>
  </si>
  <si>
    <t>(measured)</t>
  </si>
  <si>
    <t>2x</t>
  </si>
  <si>
    <t>3x</t>
  </si>
  <si>
    <t>openlog struggles below voltage of 2.9v</t>
  </si>
  <si>
    <t>v ea for 2 batteries</t>
  </si>
  <si>
    <t>AA batts</t>
  </si>
  <si>
    <t>AAA batts</t>
  </si>
  <si>
    <t>datasheet suggests will get to 1.45v at around 6-7 hours, but this is at room temperature so maybe optimistic (assumes 250ma which could be pessimistic)</t>
  </si>
  <si>
    <t>options</t>
  </si>
  <si>
    <t>2 x AA</t>
  </si>
  <si>
    <t>3xAAA</t>
  </si>
  <si>
    <t>3xAA</t>
  </si>
  <si>
    <t>2xAAA</t>
  </si>
  <si>
    <t>max volts</t>
  </si>
  <si>
    <t>weight</t>
  </si>
  <si>
    <t>mah</t>
  </si>
  <si>
    <t>RAW/VCC</t>
  </si>
  <si>
    <t>VCC</t>
  </si>
  <si>
    <t>low power mods:</t>
  </si>
  <si>
    <t>https://andreasrohner.at/posts/Electronics/How-to-modify-an-Arduino-Pro-Mini-clone-for-low-power-consumption/</t>
  </si>
  <si>
    <t>like for like saving not using the regulator</t>
  </si>
  <si>
    <t>mA</t>
  </si>
  <si>
    <t>like for like saving not using the led</t>
  </si>
  <si>
    <t>https://www.arduino.cc/en/uploads/Main/Arduino-Pro-Mini-schematic.pdf</t>
  </si>
  <si>
    <t>test 1</t>
  </si>
  <si>
    <t>3*AAA</t>
  </si>
  <si>
    <t>http://data.energizer.com/PDFs/1212.pdf</t>
  </si>
  <si>
    <t>http://data.energizer.com/PDFs/Ind-LR03PL_EU.pdf</t>
  </si>
  <si>
    <t>the other alkaline batteries emma bought</t>
  </si>
  <si>
    <t>power management</t>
  </si>
  <si>
    <t>https://www.u-blox.com/sites/default/files/products/documents/PowerManagement_AppNote_(UBX-13005162).pdf</t>
  </si>
  <si>
    <t>at 3.5v indicated on supply</t>
  </si>
  <si>
    <t>63-67mA</t>
  </si>
  <si>
    <t>standard setup, openlog from supply, everything else on vcc.</t>
  </si>
  <si>
    <t>standard setup, openlog, acc, temps, bmp, radio from supply, gps on vcc.</t>
  </si>
  <si>
    <t>25.1mA</t>
  </si>
  <si>
    <t>3.7mA</t>
  </si>
  <si>
    <t>radio on vcc, all others disconnected, ntx_003.ino - en pin high, transmitting test message</t>
  </si>
  <si>
    <t>radio on vcc, all others disconnected, ntx_003.ino - en pin low</t>
  </si>
  <si>
    <t>17.5mA</t>
  </si>
  <si>
    <t>openlog from supply, openlog in sleep</t>
  </si>
  <si>
    <t>openlog from supply, openlog writing</t>
  </si>
  <si>
    <t>21.1mA</t>
  </si>
  <si>
    <t>as above power disconnected to openlog</t>
  </si>
  <si>
    <t>16.9mA</t>
  </si>
  <si>
    <t>5.5mA</t>
  </si>
  <si>
    <t>high current driven by sd card - change of card gives the numbers below</t>
  </si>
  <si>
    <t>~10mA</t>
  </si>
  <si>
    <t>38mA</t>
  </si>
  <si>
    <t>standard setup, openlog, acc, temps, bmp, radio from supply, gps on vcc ---&gt; after changing SD card</t>
  </si>
  <si>
    <t>42-43mA</t>
  </si>
  <si>
    <t>60mA</t>
  </si>
  <si>
    <t>radio transmitting</t>
  </si>
  <si>
    <t>radio off, all circuits powered up</t>
  </si>
  <si>
    <t>no significant drop with GPS recieving.</t>
  </si>
  <si>
    <t>1.7mA</t>
  </si>
  <si>
    <t>min</t>
  </si>
  <si>
    <t>max</t>
  </si>
  <si>
    <t>6mA</t>
  </si>
  <si>
    <t>not recording/recording</t>
  </si>
  <si>
    <t>gps</t>
  </si>
  <si>
    <t>31mA</t>
  </si>
  <si>
    <t>inside- flashing but must not be good signal</t>
  </si>
  <si>
    <t>ntx2</t>
  </si>
  <si>
    <t>0mA</t>
  </si>
  <si>
    <t>17.6mA</t>
  </si>
  <si>
    <t>off/on</t>
  </si>
  <si>
    <t>2.6uA</t>
  </si>
  <si>
    <t>temps</t>
  </si>
  <si>
    <t>1.3mA</t>
  </si>
  <si>
    <t>i2c bus</t>
  </si>
  <si>
    <t>0.18mA</t>
  </si>
  <si>
    <t>arduino + gps</t>
  </si>
  <si>
    <t>40mA</t>
  </si>
  <si>
    <t>arduino - gps</t>
  </si>
  <si>
    <t>3.8mA</t>
  </si>
  <si>
    <t>7.5mA</t>
  </si>
  <si>
    <t>led off/on</t>
  </si>
  <si>
    <t>gps module</t>
  </si>
  <si>
    <t>adxl345</t>
  </si>
  <si>
    <t>bmp180</t>
  </si>
  <si>
    <t>openlog+card</t>
  </si>
  <si>
    <t>3xAAbatts+holder</t>
  </si>
  <si>
    <t>sum</t>
  </si>
  <si>
    <t xml:space="preserve">go pro </t>
  </si>
  <si>
    <t>[g]</t>
  </si>
  <si>
    <t>payload weight</t>
  </si>
  <si>
    <t>lift</t>
  </si>
  <si>
    <t>[kg/m3]</t>
  </si>
  <si>
    <t>bouyancy (He)</t>
  </si>
  <si>
    <t>bouyancy (H)</t>
  </si>
  <si>
    <t>gas</t>
  </si>
  <si>
    <t>[-]</t>
  </si>
  <si>
    <t>H</t>
  </si>
  <si>
    <t>bouyancy (gas)</t>
  </si>
  <si>
    <t>volume for neutral bouyancy</t>
  </si>
  <si>
    <t>[m3]</t>
  </si>
  <si>
    <t>volume for positive lift</t>
  </si>
  <si>
    <t>burst diameter</t>
  </si>
  <si>
    <t>[m]</t>
  </si>
  <si>
    <t>balloon weight</t>
  </si>
  <si>
    <t>burst volume</t>
  </si>
  <si>
    <t>burst pressure</t>
  </si>
  <si>
    <t>sea level pressure</t>
  </si>
  <si>
    <t>burst altitude</t>
  </si>
  <si>
    <t>[Pa]</t>
  </si>
  <si>
    <t>burst temperature</t>
  </si>
  <si>
    <t>https://www.grc.nasa.gov/www/k-12/airplane/atmosmet.html</t>
  </si>
  <si>
    <t>burst density</t>
  </si>
  <si>
    <t>[degC]</t>
  </si>
  <si>
    <t>bouyant force</t>
  </si>
  <si>
    <t>[N]</t>
  </si>
  <si>
    <t>sea level density (air)</t>
  </si>
  <si>
    <t>Aref balloon</t>
  </si>
  <si>
    <t>balloon diameter at sea level</t>
  </si>
  <si>
    <t>[m2]</t>
  </si>
  <si>
    <t>ascent rate</t>
  </si>
  <si>
    <t>drag coefficient</t>
  </si>
  <si>
    <t>m/s</t>
  </si>
  <si>
    <t>https://ausmhab14.wordpress.com/tag/hab/</t>
  </si>
  <si>
    <t>telem.id++</t>
  </si>
  <si>
    <t>int</t>
  </si>
  <si>
    <t>gps time</t>
  </si>
  <si>
    <t>long</t>
  </si>
  <si>
    <t>lat</t>
  </si>
  <si>
    <t>string</t>
  </si>
  <si>
    <t>altitude</t>
  </si>
  <si>
    <t>satellites</t>
  </si>
  <si>
    <t>fix age</t>
  </si>
  <si>
    <t>fix</t>
  </si>
  <si>
    <t>t_ext</t>
  </si>
  <si>
    <t>t_int</t>
  </si>
  <si>
    <t>press</t>
  </si>
  <si>
    <t>acc1</t>
  </si>
  <si>
    <t>acc2</t>
  </si>
  <si>
    <t>acc3</t>
  </si>
  <si>
    <t>vcc</t>
  </si>
  <si>
    <t>err</t>
  </si>
  <si>
    <t>%i</t>
  </si>
  <si>
    <t>%li</t>
  </si>
  <si>
    <t>%s</t>
  </si>
  <si>
    <t>%05i</t>
  </si>
  <si>
    <t>telem.latstr</t>
  </si>
  <si>
    <t>telem.lngstr</t>
  </si>
  <si>
    <t>long(gps.altitude.meters())</t>
  </si>
  <si>
    <t>int(gps.satellites.value())</t>
  </si>
  <si>
    <t>long(gps.time.value()))</t>
  </si>
  <si>
    <t>long(gps.location.age())</t>
  </si>
  <si>
    <t xml:space="preserve"> int(GSA_fix.value())</t>
  </si>
  <si>
    <t>int(telem.text)</t>
  </si>
  <si>
    <t>int(telem.tint)</t>
  </si>
  <si>
    <t>, , , ,, , , , int(telem.acc[0]), int(telem.acc[1]), int(telem.acc[2]), long(readVcc()), int(telem.err))</t>
  </si>
  <si>
    <t>long(telem.prss)</t>
  </si>
  <si>
    <t>int(telem.err)</t>
  </si>
  <si>
    <t>%i;</t>
  </si>
  <si>
    <t xml:space="preserve">long(readVcc()), </t>
  </si>
  <si>
    <t>%li;</t>
  </si>
  <si>
    <t xml:space="preserve">int(telem.acc[2]), </t>
  </si>
  <si>
    <t>%05i;</t>
  </si>
  <si>
    <t xml:space="preserve">int(telem.acc[1]), </t>
  </si>
  <si>
    <t xml:space="preserve">int(telem.acc[0]), </t>
  </si>
  <si>
    <t xml:space="preserve">long(telem.prss), </t>
  </si>
  <si>
    <t xml:space="preserve">int(telem.tint), </t>
  </si>
  <si>
    <t xml:space="preserve">int(telem.text), </t>
  </si>
  <si>
    <t xml:space="preserve">int(GSA_fix.value()), </t>
  </si>
  <si>
    <t xml:space="preserve">long(gps.location.age()), </t>
  </si>
  <si>
    <t xml:space="preserve">int(gps.satellites.value()), </t>
  </si>
  <si>
    <t xml:space="preserve">long(gps.altitude.meters(), </t>
  </si>
  <si>
    <t xml:space="preserve">telem.lngstr, </t>
  </si>
  <si>
    <t>%s;</t>
  </si>
  <si>
    <t xml:space="preserve">telem.latstr, </t>
  </si>
  <si>
    <t xml:space="preserve">long(gps.time.value())), </t>
  </si>
  <si>
    <t xml:space="preserve">int(telem.id++), </t>
  </si>
  <si>
    <t xml:space="preserve">    int(telem.id++), long(gps.time.value())), telem.latstr, telem.lngstr, long(gps.altitude.meters(), int(gps.satellites.value()), long(gps.location.age()), int(GSA_fix.value()), int(telem.text), int(telem.tint), long(telem.prss), int(telem.acc[0]), int(telem.acc[1]), int(telem.acc[2]), long(readVcc()), int(telem.err));</t>
  </si>
  <si>
    <t xml:space="preserve">snprintf(telem_string,sizeof(telem_string),"$$KISSR;%i;%li;%s;%s;%li;%i;%li;%i;%i;%i;%li;%05i;%05i;%05i;%li;%i;", </t>
  </si>
  <si>
    <t>$$KISSR;0;16544000;0.000000;0.000000;0;0;-64103;-1;850;-1270;153189;-32649;09009;00080;3362;43;*DB01</t>
  </si>
  <si>
    <t>#</t>
  </si>
  <si>
    <t>$$KISSR;10;21000000;0.000000;0.000000;0;0;-64116;-1;230;-1270;153189;-32649;09009;00080;3352;2;*A55C</t>
  </si>
  <si>
    <t>https://ukhas.org.uk/guides:ublox_psm</t>
  </si>
  <si>
    <t>from bmp180 calibration, do not change</t>
  </si>
  <si>
    <t>BIN</t>
  </si>
  <si>
    <t>BIN2DEC</t>
  </si>
  <si>
    <t>Result:</t>
  </si>
  <si>
    <t>UP calculation</t>
  </si>
  <si>
    <t>sample</t>
  </si>
  <si>
    <t>millis</t>
  </si>
  <si>
    <t>loop_time</t>
  </si>
  <si>
    <t>diff</t>
  </si>
  <si>
    <t>Troposphere</t>
  </si>
  <si>
    <t>Lower Stratosphere</t>
  </si>
  <si>
    <t>Upper Stratosphere</t>
  </si>
  <si>
    <t>h</t>
  </si>
  <si>
    <t>T</t>
  </si>
  <si>
    <t>P</t>
  </si>
  <si>
    <t>p</t>
  </si>
  <si>
    <t>a=</t>
  </si>
  <si>
    <t>[degC/m]</t>
  </si>
  <si>
    <t>[K]</t>
  </si>
  <si>
    <t>[kPa]</t>
  </si>
  <si>
    <t>R=</t>
  </si>
  <si>
    <t>[JK/kg]</t>
  </si>
  <si>
    <t>g=</t>
  </si>
  <si>
    <t>[m/s2]</t>
  </si>
  <si>
    <t>h1=</t>
  </si>
  <si>
    <t>p1=</t>
  </si>
  <si>
    <t>launch altitude</t>
  </si>
  <si>
    <t>launch pressure</t>
  </si>
  <si>
    <t>T1</t>
  </si>
  <si>
    <t>[degK]</t>
  </si>
  <si>
    <t>[m/s2</t>
  </si>
  <si>
    <t>[kg/mol]</t>
  </si>
  <si>
    <t>[J/mol/K]</t>
  </si>
  <si>
    <t>b [-]</t>
  </si>
  <si>
    <t>h [m]</t>
  </si>
  <si>
    <t>Tb [K]</t>
  </si>
  <si>
    <t>Lb [K/m]</t>
  </si>
  <si>
    <t>Pb [Pa]</t>
  </si>
  <si>
    <t>g0=</t>
  </si>
  <si>
    <t>M=</t>
  </si>
  <si>
    <t>b=</t>
  </si>
  <si>
    <t>alpha=</t>
  </si>
  <si>
    <t>https://en.wikipedia.org/wiki/Barometric_formula</t>
  </si>
  <si>
    <t>https://ccollins.wordpress.com/2016/03/07/arduino-altimeter/</t>
  </si>
  <si>
    <t>https://www.eoas.ubc.ca/books/Practical_Meteorology/prmet/PracticalMet_WholeBook-v1_00b.pdf</t>
  </si>
  <si>
    <t>[km]</t>
  </si>
  <si>
    <t>R0=</t>
  </si>
  <si>
    <t>[hPa]</t>
  </si>
  <si>
    <t>mAh/g</t>
  </si>
  <si>
    <t>Status LED</t>
  </si>
  <si>
    <t>n_loops</t>
  </si>
  <si>
    <t>sample_period</t>
  </si>
  <si>
    <t>millis()</t>
  </si>
  <si>
    <t>gps_data</t>
  </si>
  <si>
    <t>gps_init</t>
  </si>
  <si>
    <t>opl_init</t>
  </si>
  <si>
    <t>i2c_data</t>
  </si>
  <si>
    <t>use of dongle:</t>
  </si>
  <si>
    <t>http://www.nooelec.com/store/qs/</t>
  </si>
</sst>
</file>

<file path=xl/styles.xml><?xml version="1.0" encoding="utf-8"?>
<styleSheet xmlns="http://schemas.openxmlformats.org/spreadsheetml/2006/main">
  <numFmts count="2">
    <numFmt numFmtId="8" formatCode="&quot;£&quot;#,##0.00;[Red]\-&quot;£&quot;#,##0.00"/>
    <numFmt numFmtId="164" formatCode="0.0"/>
  </numFmts>
  <fonts count="16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00B050"/>
      <name val="Calibri"/>
      <family val="2"/>
      <scheme val="minor"/>
    </font>
    <font>
      <sz val="12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 tint="-0.499984740745262"/>
      <name val="Calibri"/>
      <family val="2"/>
      <scheme val="minor"/>
    </font>
    <font>
      <sz val="11"/>
      <name val="Calibri"/>
      <family val="2"/>
      <scheme val="minor"/>
    </font>
    <font>
      <b/>
      <sz val="14"/>
      <color rgb="FFFF0000"/>
      <name val="Calibri"/>
      <family val="2"/>
      <scheme val="minor"/>
    </font>
    <font>
      <sz val="11"/>
      <color theme="1"/>
      <name val="Courier New"/>
      <family val="3"/>
    </font>
    <font>
      <strike/>
      <sz val="11"/>
      <color theme="1"/>
      <name val="Calibri"/>
      <family val="2"/>
      <scheme val="minor"/>
    </font>
    <font>
      <strike/>
      <sz val="11"/>
      <color rgb="FFFF0000"/>
      <name val="Calibri"/>
      <family val="2"/>
      <scheme val="minor"/>
    </font>
    <font>
      <sz val="11"/>
      <color theme="5"/>
      <name val="Calibri"/>
      <family val="2"/>
      <scheme val="minor"/>
    </font>
    <font>
      <sz val="11"/>
      <color rgb="FF7030A0"/>
      <name val="Calibri"/>
      <family val="2"/>
      <scheme val="minor"/>
    </font>
    <font>
      <sz val="11"/>
      <color rgb="FF00B05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C000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93">
    <xf numFmtId="0" fontId="0" fillId="0" borderId="0" xfId="0"/>
    <xf numFmtId="0" fontId="1" fillId="0" borderId="0" xfId="1"/>
    <xf numFmtId="8" fontId="0" fillId="0" borderId="0" xfId="0" applyNumberFormat="1"/>
    <xf numFmtId="0" fontId="0" fillId="0" borderId="0" xfId="0" applyAlignment="1">
      <alignment horizontal="right"/>
    </xf>
    <xf numFmtId="0" fontId="2" fillId="0" borderId="0" xfId="0" applyFont="1" applyAlignment="1">
      <alignment horizontal="center"/>
    </xf>
    <xf numFmtId="0" fontId="3" fillId="0" borderId="0" xfId="0" applyFont="1"/>
    <xf numFmtId="1" fontId="0" fillId="0" borderId="0" xfId="0" applyNumberFormat="1"/>
    <xf numFmtId="0" fontId="0" fillId="2" borderId="1" xfId="0" applyFill="1" applyBorder="1"/>
    <xf numFmtId="0" fontId="0" fillId="2" borderId="2" xfId="0" applyFill="1" applyBorder="1"/>
    <xf numFmtId="0" fontId="0" fillId="2" borderId="3" xfId="0" applyFill="1" applyBorder="1"/>
    <xf numFmtId="0" fontId="0" fillId="0" borderId="4" xfId="0" applyBorder="1"/>
    <xf numFmtId="0" fontId="0" fillId="0" borderId="0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164" fontId="0" fillId="0" borderId="0" xfId="0" applyNumberFormat="1"/>
    <xf numFmtId="0" fontId="7" fillId="0" borderId="0" xfId="0" applyFont="1"/>
    <xf numFmtId="0" fontId="0" fillId="3" borderId="0" xfId="0" applyFill="1"/>
    <xf numFmtId="0" fontId="0" fillId="4" borderId="0" xfId="0" applyFill="1"/>
    <xf numFmtId="0" fontId="0" fillId="4" borderId="0" xfId="0" applyFill="1" applyAlignment="1">
      <alignment horizontal="right"/>
    </xf>
    <xf numFmtId="0" fontId="0" fillId="5" borderId="0" xfId="0" applyFill="1"/>
    <xf numFmtId="0" fontId="0" fillId="5" borderId="0" xfId="0" applyFill="1" applyAlignment="1">
      <alignment horizontal="right"/>
    </xf>
    <xf numFmtId="0" fontId="8" fillId="0" borderId="0" xfId="0" applyFont="1"/>
    <xf numFmtId="0" fontId="0" fillId="6" borderId="0" xfId="0" applyFill="1" applyAlignment="1">
      <alignment horizontal="right"/>
    </xf>
    <xf numFmtId="0" fontId="0" fillId="6" borderId="0" xfId="0" applyFill="1"/>
    <xf numFmtId="0" fontId="0" fillId="7" borderId="0" xfId="0" applyFill="1" applyAlignment="1">
      <alignment horizontal="left"/>
    </xf>
    <xf numFmtId="0" fontId="0" fillId="7" borderId="0" xfId="0" applyFill="1"/>
    <xf numFmtId="0" fontId="6" fillId="3" borderId="0" xfId="0" applyFont="1" applyFill="1"/>
    <xf numFmtId="1" fontId="0" fillId="0" borderId="0" xfId="0" quotePrefix="1" applyNumberFormat="1"/>
    <xf numFmtId="0" fontId="9" fillId="0" borderId="0" xfId="0" applyFont="1"/>
    <xf numFmtId="0" fontId="0" fillId="0" borderId="0" xfId="0" applyAlignment="1">
      <alignment horizontal="center"/>
    </xf>
    <xf numFmtId="0" fontId="10" fillId="0" borderId="0" xfId="0" applyFont="1" applyAlignment="1">
      <alignment horizontal="center"/>
    </xf>
    <xf numFmtId="0" fontId="0" fillId="0" borderId="9" xfId="0" applyBorder="1" applyAlignment="1">
      <alignment horizontal="center"/>
    </xf>
    <xf numFmtId="0" fontId="10" fillId="0" borderId="9" xfId="0" applyFont="1" applyBorder="1" applyAlignment="1">
      <alignment horizontal="center"/>
    </xf>
    <xf numFmtId="0" fontId="11" fillId="0" borderId="0" xfId="0" applyFont="1"/>
    <xf numFmtId="0" fontId="12" fillId="0" borderId="0" xfId="0" applyFont="1"/>
    <xf numFmtId="16" fontId="0" fillId="0" borderId="0" xfId="0" applyNumberFormat="1"/>
    <xf numFmtId="0" fontId="6" fillId="0" borderId="0" xfId="0" applyFont="1"/>
    <xf numFmtId="0" fontId="0" fillId="0" borderId="0" xfId="0" applyFont="1"/>
    <xf numFmtId="2" fontId="0" fillId="0" borderId="0" xfId="0" applyNumberFormat="1"/>
    <xf numFmtId="11" fontId="0" fillId="0" borderId="0" xfId="0" applyNumberFormat="1"/>
    <xf numFmtId="0" fontId="0" fillId="0" borderId="0" xfId="0" applyNumberFormat="1"/>
    <xf numFmtId="0" fontId="0" fillId="0" borderId="9" xfId="0" applyBorder="1"/>
    <xf numFmtId="0" fontId="15" fillId="0" borderId="1" xfId="0" applyFont="1" applyBorder="1" applyAlignment="1">
      <alignment horizontal="center"/>
    </xf>
    <xf numFmtId="0" fontId="15" fillId="0" borderId="2" xfId="0" applyFont="1" applyBorder="1" applyAlignment="1">
      <alignment horizontal="center"/>
    </xf>
    <xf numFmtId="0" fontId="15" fillId="0" borderId="3" xfId="0" applyFont="1" applyBorder="1" applyAlignment="1">
      <alignment horizontal="center"/>
    </xf>
    <xf numFmtId="0" fontId="15" fillId="0" borderId="6" xfId="0" applyFont="1" applyBorder="1" applyAlignment="1">
      <alignment horizontal="center"/>
    </xf>
    <xf numFmtId="0" fontId="15" fillId="0" borderId="7" xfId="0" applyFont="1" applyBorder="1" applyAlignment="1">
      <alignment horizontal="center"/>
    </xf>
    <xf numFmtId="1" fontId="15" fillId="0" borderId="7" xfId="0" applyNumberFormat="1" applyFont="1" applyBorder="1" applyAlignment="1">
      <alignment horizontal="center"/>
    </xf>
    <xf numFmtId="0" fontId="15" fillId="0" borderId="8" xfId="0" applyFont="1" applyBorder="1" applyAlignment="1">
      <alignment horizontal="center"/>
    </xf>
    <xf numFmtId="0" fontId="14" fillId="0" borderId="1" xfId="0" applyFont="1" applyBorder="1" applyAlignment="1">
      <alignment horizontal="center"/>
    </xf>
    <xf numFmtId="0" fontId="14" fillId="0" borderId="2" xfId="0" applyFont="1" applyBorder="1" applyAlignment="1">
      <alignment horizontal="center"/>
    </xf>
    <xf numFmtId="0" fontId="14" fillId="0" borderId="3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14" fillId="0" borderId="7" xfId="0" applyFont="1" applyBorder="1" applyAlignment="1">
      <alignment horizontal="center"/>
    </xf>
    <xf numFmtId="1" fontId="14" fillId="0" borderId="7" xfId="0" applyNumberFormat="1" applyFont="1" applyBorder="1" applyAlignment="1">
      <alignment horizontal="center"/>
    </xf>
    <xf numFmtId="0" fontId="14" fillId="0" borderId="8" xfId="0" applyFont="1" applyBorder="1" applyAlignment="1">
      <alignment horizontal="center"/>
    </xf>
    <xf numFmtId="0" fontId="13" fillId="0" borderId="1" xfId="0" applyFont="1" applyBorder="1" applyAlignment="1">
      <alignment horizontal="center"/>
    </xf>
    <xf numFmtId="0" fontId="13" fillId="0" borderId="2" xfId="0" applyFont="1" applyBorder="1" applyAlignment="1">
      <alignment horizontal="center"/>
    </xf>
    <xf numFmtId="0" fontId="13" fillId="0" borderId="3" xfId="0" applyFont="1" applyBorder="1" applyAlignment="1">
      <alignment horizontal="center"/>
    </xf>
    <xf numFmtId="0" fontId="13" fillId="0" borderId="6" xfId="0" applyFont="1" applyBorder="1" applyAlignment="1">
      <alignment horizontal="center"/>
    </xf>
    <xf numFmtId="0" fontId="13" fillId="0" borderId="7" xfId="0" applyFont="1" applyBorder="1" applyAlignment="1">
      <alignment horizontal="center"/>
    </xf>
    <xf numFmtId="0" fontId="13" fillId="0" borderId="8" xfId="0" applyFont="1" applyBorder="1" applyAlignment="1">
      <alignment horizontal="center"/>
    </xf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14" fillId="0" borderId="4" xfId="0" applyFont="1" applyBorder="1" applyAlignment="1">
      <alignment horizontal="center"/>
    </xf>
    <xf numFmtId="0" fontId="14" fillId="0" borderId="0" xfId="0" applyFont="1" applyBorder="1" applyAlignment="1">
      <alignment horizontal="center"/>
    </xf>
    <xf numFmtId="1" fontId="14" fillId="0" borderId="0" xfId="0" applyNumberFormat="1" applyFont="1" applyBorder="1" applyAlignment="1">
      <alignment horizontal="center"/>
    </xf>
    <xf numFmtId="0" fontId="14" fillId="0" borderId="5" xfId="0" applyFont="1" applyBorder="1" applyAlignment="1">
      <alignment horizontal="center"/>
    </xf>
    <xf numFmtId="0" fontId="13" fillId="0" borderId="4" xfId="0" applyFont="1" applyBorder="1" applyAlignment="1">
      <alignment horizontal="center"/>
    </xf>
    <xf numFmtId="0" fontId="13" fillId="0" borderId="0" xfId="0" applyFont="1" applyBorder="1" applyAlignment="1">
      <alignment horizontal="center"/>
    </xf>
    <xf numFmtId="0" fontId="13" fillId="0" borderId="5" xfId="0" applyFont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1" borderId="0" xfId="0" applyFill="1" applyBorder="1" applyAlignment="1">
      <alignment horizontal="center"/>
    </xf>
    <xf numFmtId="0" fontId="0" fillId="11" borderId="4" xfId="0" applyFill="1" applyBorder="1" applyAlignment="1">
      <alignment horizontal="center"/>
    </xf>
    <xf numFmtId="1" fontId="0" fillId="0" borderId="0" xfId="0" applyNumberFormat="1" applyAlignment="1">
      <alignment horizontal="center"/>
    </xf>
    <xf numFmtId="0" fontId="0" fillId="12" borderId="10" xfId="0" applyFill="1" applyBorder="1"/>
    <xf numFmtId="0" fontId="0" fillId="12" borderId="11" xfId="0" applyFill="1" applyBorder="1"/>
    <xf numFmtId="0" fontId="0" fillId="12" borderId="12" xfId="0" applyFill="1" applyBorder="1"/>
    <xf numFmtId="0" fontId="0" fillId="9" borderId="10" xfId="0" applyFill="1" applyBorder="1"/>
    <xf numFmtId="0" fontId="0" fillId="9" borderId="11" xfId="0" applyFill="1" applyBorder="1"/>
    <xf numFmtId="0" fontId="0" fillId="9" borderId="12" xfId="0" applyFill="1" applyBorder="1"/>
    <xf numFmtId="14" fontId="0" fillId="0" borderId="0" xfId="0" applyNumberFormat="1"/>
    <xf numFmtId="0" fontId="0" fillId="8" borderId="13" xfId="0" applyFill="1" applyBorder="1" applyAlignment="1">
      <alignment horizontal="center" vertical="center" textRotation="90"/>
    </xf>
    <xf numFmtId="0" fontId="0" fillId="8" borderId="14" xfId="0" applyFill="1" applyBorder="1" applyAlignment="1">
      <alignment horizontal="center" vertical="center" textRotation="90"/>
    </xf>
    <xf numFmtId="0" fontId="0" fillId="10" borderId="13" xfId="0" applyFill="1" applyBorder="1" applyAlignment="1">
      <alignment horizontal="center" vertical="center" textRotation="90"/>
    </xf>
    <xf numFmtId="0" fontId="0" fillId="10" borderId="14" xfId="0" applyFill="1" applyBorder="1" applyAlignment="1">
      <alignment horizontal="center" vertical="center" textRotation="90"/>
    </xf>
    <xf numFmtId="0" fontId="0" fillId="10" borderId="15" xfId="0" applyFill="1" applyBorder="1" applyAlignment="1">
      <alignment horizontal="center" vertical="center" textRotation="90"/>
    </xf>
    <xf numFmtId="0" fontId="0" fillId="6" borderId="13" xfId="0" applyFill="1" applyBorder="1" applyAlignment="1">
      <alignment horizontal="center" vertical="center" textRotation="90"/>
    </xf>
    <xf numFmtId="0" fontId="0" fillId="6" borderId="14" xfId="0" applyFill="1" applyBorder="1" applyAlignment="1">
      <alignment horizontal="center" vertical="center" textRotation="90"/>
    </xf>
    <xf numFmtId="0" fontId="0" fillId="6" borderId="15" xfId="0" applyFill="1" applyBorder="1" applyAlignment="1">
      <alignment horizontal="center" vertical="center" textRotation="90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theme" Target="theme/theme1.xml"/><Relationship Id="rId30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/>
      <c:scatterChart>
        <c:scatterStyle val="lineMarker"/>
        <c:ser>
          <c:idx val="2"/>
          <c:order val="1"/>
          <c:spPr>
            <a:ln w="19050">
              <a:noFill/>
            </a:ln>
          </c:spPr>
          <c:xVal>
            <c:numRef>
              <c:f>altitude!$C$16:$C$66</c:f>
              <c:numCache>
                <c:formatCode>General</c:formatCode>
                <c:ptCount val="51"/>
                <c:pt idx="0">
                  <c:v>0</c:v>
                </c:pt>
                <c:pt idx="1">
                  <c:v>1000</c:v>
                </c:pt>
                <c:pt idx="2">
                  <c:v>2000</c:v>
                </c:pt>
                <c:pt idx="3">
                  <c:v>3000</c:v>
                </c:pt>
                <c:pt idx="4">
                  <c:v>4000</c:v>
                </c:pt>
                <c:pt idx="5">
                  <c:v>5000</c:v>
                </c:pt>
                <c:pt idx="6">
                  <c:v>6000</c:v>
                </c:pt>
                <c:pt idx="7">
                  <c:v>7000</c:v>
                </c:pt>
                <c:pt idx="8">
                  <c:v>8000</c:v>
                </c:pt>
                <c:pt idx="9">
                  <c:v>9000</c:v>
                </c:pt>
                <c:pt idx="10">
                  <c:v>10000</c:v>
                </c:pt>
                <c:pt idx="11">
                  <c:v>11000</c:v>
                </c:pt>
                <c:pt idx="12">
                  <c:v>12000</c:v>
                </c:pt>
                <c:pt idx="13">
                  <c:v>13000</c:v>
                </c:pt>
                <c:pt idx="14">
                  <c:v>14000</c:v>
                </c:pt>
                <c:pt idx="15">
                  <c:v>15000</c:v>
                </c:pt>
                <c:pt idx="16">
                  <c:v>16000</c:v>
                </c:pt>
                <c:pt idx="17">
                  <c:v>17000</c:v>
                </c:pt>
                <c:pt idx="18">
                  <c:v>18000</c:v>
                </c:pt>
                <c:pt idx="19">
                  <c:v>19000</c:v>
                </c:pt>
                <c:pt idx="20">
                  <c:v>20000</c:v>
                </c:pt>
                <c:pt idx="21">
                  <c:v>21000</c:v>
                </c:pt>
                <c:pt idx="22">
                  <c:v>22000</c:v>
                </c:pt>
                <c:pt idx="23">
                  <c:v>23000</c:v>
                </c:pt>
                <c:pt idx="24">
                  <c:v>24000</c:v>
                </c:pt>
                <c:pt idx="25">
                  <c:v>25000</c:v>
                </c:pt>
                <c:pt idx="26">
                  <c:v>26000</c:v>
                </c:pt>
                <c:pt idx="27">
                  <c:v>27000</c:v>
                </c:pt>
                <c:pt idx="28">
                  <c:v>28000</c:v>
                </c:pt>
                <c:pt idx="29">
                  <c:v>29000</c:v>
                </c:pt>
                <c:pt idx="30">
                  <c:v>30000</c:v>
                </c:pt>
                <c:pt idx="31">
                  <c:v>31000</c:v>
                </c:pt>
                <c:pt idx="32">
                  <c:v>32000</c:v>
                </c:pt>
                <c:pt idx="33">
                  <c:v>33000</c:v>
                </c:pt>
                <c:pt idx="34">
                  <c:v>34000</c:v>
                </c:pt>
                <c:pt idx="35">
                  <c:v>35000</c:v>
                </c:pt>
                <c:pt idx="36">
                  <c:v>36000</c:v>
                </c:pt>
                <c:pt idx="37">
                  <c:v>37000</c:v>
                </c:pt>
                <c:pt idx="38">
                  <c:v>38000</c:v>
                </c:pt>
                <c:pt idx="39">
                  <c:v>39000</c:v>
                </c:pt>
                <c:pt idx="40">
                  <c:v>40000</c:v>
                </c:pt>
                <c:pt idx="41">
                  <c:v>41000</c:v>
                </c:pt>
                <c:pt idx="42">
                  <c:v>42000</c:v>
                </c:pt>
                <c:pt idx="43">
                  <c:v>43000</c:v>
                </c:pt>
                <c:pt idx="44">
                  <c:v>44000</c:v>
                </c:pt>
                <c:pt idx="45">
                  <c:v>45000</c:v>
                </c:pt>
                <c:pt idx="46">
                  <c:v>46000</c:v>
                </c:pt>
                <c:pt idx="47">
                  <c:v>47000</c:v>
                </c:pt>
                <c:pt idx="48">
                  <c:v>48000</c:v>
                </c:pt>
                <c:pt idx="49">
                  <c:v>49000</c:v>
                </c:pt>
                <c:pt idx="50">
                  <c:v>50000</c:v>
                </c:pt>
              </c:numCache>
            </c:numRef>
          </c:xVal>
          <c:yVal>
            <c:numRef>
              <c:f>altitude!$F$16:$F$66</c:f>
              <c:numCache>
                <c:formatCode>General</c:formatCode>
                <c:ptCount val="51"/>
                <c:pt idx="0">
                  <c:v>101750.78047152967</c:v>
                </c:pt>
                <c:pt idx="1">
                  <c:v>88311.925951531986</c:v>
                </c:pt>
                <c:pt idx="2">
                  <c:v>76327.45238663879</c:v>
                </c:pt>
                <c:pt idx="3">
                  <c:v>65740.088763476539</c:v>
                </c:pt>
                <c:pt idx="4">
                  <c:v>56414.918780606771</c:v>
                </c:pt>
                <c:pt idx="5">
                  <c:v>48227.228249937471</c:v>
                </c:pt>
                <c:pt idx="6">
                  <c:v>41061.957672331242</c:v>
                </c:pt>
                <c:pt idx="7">
                  <c:v>34813.171571089748</c:v>
                </c:pt>
                <c:pt idx="8">
                  <c:v>29383.54447610096</c:v>
                </c:pt>
                <c:pt idx="9">
                  <c:v>24683.863449392928</c:v>
                </c:pt>
                <c:pt idx="10">
                  <c:v>20632.547040696227</c:v>
                </c:pt>
                <c:pt idx="11">
                  <c:v>17155.180559378845</c:v>
                </c:pt>
                <c:pt idx="12">
                  <c:v>14662.058734099119</c:v>
                </c:pt>
                <c:pt idx="13">
                  <c:v>12531.721110657807</c:v>
                </c:pt>
                <c:pt idx="14">
                  <c:v>10710.912897250493</c:v>
                </c:pt>
                <c:pt idx="15">
                  <c:v>9154.6607269226879</c:v>
                </c:pt>
                <c:pt idx="16">
                  <c:v>7824.5256803996808</c:v>
                </c:pt>
                <c:pt idx="17">
                  <c:v>6687.653857360815</c:v>
                </c:pt>
                <c:pt idx="18">
                  <c:v>5715.9648958540374</c:v>
                </c:pt>
                <c:pt idx="19">
                  <c:v>4885.4583965458523</c:v>
                </c:pt>
                <c:pt idx="20">
                  <c:v>4175.6211207126817</c:v>
                </c:pt>
                <c:pt idx="21">
                  <c:v>3568.9203199579792</c:v>
                </c:pt>
                <c:pt idx="22">
                  <c:v>3050.3706830649967</c:v>
                </c:pt>
                <c:pt idx="23">
                  <c:v>2607.1642037141264</c:v>
                </c:pt>
                <c:pt idx="24">
                  <c:v>2228.3538269186415</c:v>
                </c:pt>
                <c:pt idx="25">
                  <c:v>1904.5830603492846</c:v>
                </c:pt>
                <c:pt idx="26">
                  <c:v>1625.9429452502627</c:v>
                </c:pt>
                <c:pt idx="27">
                  <c:v>1412.8680265134574</c:v>
                </c:pt>
                <c:pt idx="28">
                  <c:v>1230.0189125171119</c:v>
                </c:pt>
                <c:pt idx="29">
                  <c:v>1072.7893319334864</c:v>
                </c:pt>
                <c:pt idx="30">
                  <c:v>937.32234782549961</c:v>
                </c:pt>
                <c:pt idx="31">
                  <c:v>820.38094029764693</c:v>
                </c:pt>
                <c:pt idx="32">
                  <c:v>719.24220814086493</c:v>
                </c:pt>
                <c:pt idx="33">
                  <c:v>631.61065311482071</c:v>
                </c:pt>
                <c:pt idx="34">
                  <c:v>555.54692414259159</c:v>
                </c:pt>
                <c:pt idx="35">
                  <c:v>489.40911998219048</c:v>
                </c:pt>
                <c:pt idx="36">
                  <c:v>431.80432009431485</c:v>
                </c:pt>
                <c:pt idx="37">
                  <c:v>381.54846702363375</c:v>
                </c:pt>
                <c:pt idx="38">
                  <c:v>337.63308487893943</c:v>
                </c:pt>
                <c:pt idx="39">
                  <c:v>299.19760703260084</c:v>
                </c:pt>
                <c:pt idx="40">
                  <c:v>265.50631723279645</c:v>
                </c:pt>
                <c:pt idx="41">
                  <c:v>235.92909386857912</c:v>
                </c:pt>
                <c:pt idx="42">
                  <c:v>209.92529650440292</c:v>
                </c:pt>
                <c:pt idx="43">
                  <c:v>187.03025436301269</c:v>
                </c:pt>
                <c:pt idx="44">
                  <c:v>166.84391398273038</c:v>
                </c:pt>
                <c:pt idx="45">
                  <c:v>149.02128239167055</c:v>
                </c:pt>
                <c:pt idx="46">
                  <c:v>133.26436646131333</c:v>
                </c:pt>
                <c:pt idx="47">
                  <c:v>119.31536151336537</c:v>
                </c:pt>
                <c:pt idx="48">
                  <c:v>106.95088505825302</c:v>
                </c:pt>
                <c:pt idx="49">
                  <c:v>95.977086579195586</c:v>
                </c:pt>
                <c:pt idx="50">
                  <c:v>86.225493014675052</c:v>
                </c:pt>
              </c:numCache>
            </c:numRef>
          </c:yVal>
        </c:ser>
        <c:axId val="55011968"/>
        <c:axId val="55034240"/>
      </c:scatterChart>
      <c:scatterChart>
        <c:scatterStyle val="lineMarker"/>
        <c:ser>
          <c:idx val="1"/>
          <c:order val="0"/>
          <c:spPr>
            <a:ln w="19050">
              <a:noFill/>
            </a:ln>
          </c:spPr>
          <c:xVal>
            <c:numRef>
              <c:f>altitude!$C$16:$C$66</c:f>
              <c:numCache>
                <c:formatCode>General</c:formatCode>
                <c:ptCount val="51"/>
                <c:pt idx="0">
                  <c:v>0</c:v>
                </c:pt>
                <c:pt idx="1">
                  <c:v>1000</c:v>
                </c:pt>
                <c:pt idx="2">
                  <c:v>2000</c:v>
                </c:pt>
                <c:pt idx="3">
                  <c:v>3000</c:v>
                </c:pt>
                <c:pt idx="4">
                  <c:v>4000</c:v>
                </c:pt>
                <c:pt idx="5">
                  <c:v>5000</c:v>
                </c:pt>
                <c:pt idx="6">
                  <c:v>6000</c:v>
                </c:pt>
                <c:pt idx="7">
                  <c:v>7000</c:v>
                </c:pt>
                <c:pt idx="8">
                  <c:v>8000</c:v>
                </c:pt>
                <c:pt idx="9">
                  <c:v>9000</c:v>
                </c:pt>
                <c:pt idx="10">
                  <c:v>10000</c:v>
                </c:pt>
                <c:pt idx="11">
                  <c:v>11000</c:v>
                </c:pt>
                <c:pt idx="12">
                  <c:v>12000</c:v>
                </c:pt>
                <c:pt idx="13">
                  <c:v>13000</c:v>
                </c:pt>
                <c:pt idx="14">
                  <c:v>14000</c:v>
                </c:pt>
                <c:pt idx="15">
                  <c:v>15000</c:v>
                </c:pt>
                <c:pt idx="16">
                  <c:v>16000</c:v>
                </c:pt>
                <c:pt idx="17">
                  <c:v>17000</c:v>
                </c:pt>
                <c:pt idx="18">
                  <c:v>18000</c:v>
                </c:pt>
                <c:pt idx="19">
                  <c:v>19000</c:v>
                </c:pt>
                <c:pt idx="20">
                  <c:v>20000</c:v>
                </c:pt>
                <c:pt idx="21">
                  <c:v>21000</c:v>
                </c:pt>
                <c:pt idx="22">
                  <c:v>22000</c:v>
                </c:pt>
                <c:pt idx="23">
                  <c:v>23000</c:v>
                </c:pt>
                <c:pt idx="24">
                  <c:v>24000</c:v>
                </c:pt>
                <c:pt idx="25">
                  <c:v>25000</c:v>
                </c:pt>
                <c:pt idx="26">
                  <c:v>26000</c:v>
                </c:pt>
                <c:pt idx="27">
                  <c:v>27000</c:v>
                </c:pt>
                <c:pt idx="28">
                  <c:v>28000</c:v>
                </c:pt>
                <c:pt idx="29">
                  <c:v>29000</c:v>
                </c:pt>
                <c:pt idx="30">
                  <c:v>30000</c:v>
                </c:pt>
                <c:pt idx="31">
                  <c:v>31000</c:v>
                </c:pt>
                <c:pt idx="32">
                  <c:v>32000</c:v>
                </c:pt>
                <c:pt idx="33">
                  <c:v>33000</c:v>
                </c:pt>
                <c:pt idx="34">
                  <c:v>34000</c:v>
                </c:pt>
                <c:pt idx="35">
                  <c:v>35000</c:v>
                </c:pt>
                <c:pt idx="36">
                  <c:v>36000</c:v>
                </c:pt>
                <c:pt idx="37">
                  <c:v>37000</c:v>
                </c:pt>
                <c:pt idx="38">
                  <c:v>38000</c:v>
                </c:pt>
                <c:pt idx="39">
                  <c:v>39000</c:v>
                </c:pt>
                <c:pt idx="40">
                  <c:v>40000</c:v>
                </c:pt>
                <c:pt idx="41">
                  <c:v>41000</c:v>
                </c:pt>
                <c:pt idx="42">
                  <c:v>42000</c:v>
                </c:pt>
                <c:pt idx="43">
                  <c:v>43000</c:v>
                </c:pt>
                <c:pt idx="44">
                  <c:v>44000</c:v>
                </c:pt>
                <c:pt idx="45">
                  <c:v>45000</c:v>
                </c:pt>
                <c:pt idx="46">
                  <c:v>46000</c:v>
                </c:pt>
                <c:pt idx="47">
                  <c:v>47000</c:v>
                </c:pt>
                <c:pt idx="48">
                  <c:v>48000</c:v>
                </c:pt>
                <c:pt idx="49">
                  <c:v>49000</c:v>
                </c:pt>
                <c:pt idx="50">
                  <c:v>50000</c:v>
                </c:pt>
              </c:numCache>
            </c:numRef>
          </c:xVal>
          <c:yVal>
            <c:numRef>
              <c:f>altitude!$E$16:$E$66</c:f>
              <c:numCache>
                <c:formatCode>General</c:formatCode>
                <c:ptCount val="51"/>
                <c:pt idx="0">
                  <c:v>101.32696604401893</c:v>
                </c:pt>
                <c:pt idx="1">
                  <c:v>89.958074047557346</c:v>
                </c:pt>
                <c:pt idx="2">
                  <c:v>79.584045972258565</c:v>
                </c:pt>
                <c:pt idx="3">
                  <c:v>70.200734976891411</c:v>
                </c:pt>
                <c:pt idx="4">
                  <c:v>61.734076581570221</c:v>
                </c:pt>
                <c:pt idx="5">
                  <c:v>54.11393400174844</c:v>
                </c:pt>
                <c:pt idx="6">
                  <c:v>47.273979358715216</c:v>
                </c:pt>
                <c:pt idx="7">
                  <c:v>41.151575640664362</c:v>
                </c:pt>
                <c:pt idx="8">
                  <c:v>35.687659428470766</c:v>
                </c:pt>
                <c:pt idx="9">
                  <c:v>30.82662440095255</c:v>
                </c:pt>
                <c:pt idx="10">
                  <c:v>26.516205635082187</c:v>
                </c:pt>
                <c:pt idx="11">
                  <c:v>22.707364717350817</c:v>
                </c:pt>
                <c:pt idx="12">
                  <c:v>19.417211275909512</c:v>
                </c:pt>
                <c:pt idx="13">
                  <c:v>16.595969288440383</c:v>
                </c:pt>
                <c:pt idx="14">
                  <c:v>14.184642310843641</c:v>
                </c:pt>
                <c:pt idx="15">
                  <c:v>12.123671355955128</c:v>
                </c:pt>
                <c:pt idx="16">
                  <c:v>10.362151115706554</c:v>
                </c:pt>
                <c:pt idx="17">
                  <c:v>8.8565726166765959</c:v>
                </c:pt>
                <c:pt idx="18">
                  <c:v>7.5697485626870522</c:v>
                </c:pt>
                <c:pt idx="19">
                  <c:v>6.4698948207579621</c:v>
                </c:pt>
                <c:pt idx="20">
                  <c:v>5.5298453634253519</c:v>
                </c:pt>
                <c:pt idx="21">
                  <c:v>4.7263812767538038</c:v>
                </c:pt>
                <c:pt idx="22">
                  <c:v>4.0396572607613894</c:v>
                </c:pt>
                <c:pt idx="23">
                  <c:v>3.4527114570050905</c:v>
                </c:pt>
                <c:pt idx="24">
                  <c:v>2.9510464962285741</c:v>
                </c:pt>
                <c:pt idx="25">
                  <c:v>2.5222714180862709</c:v>
                </c:pt>
                <c:pt idx="26">
                  <c:v>2.1239495105053972</c:v>
                </c:pt>
                <c:pt idx="27">
                  <c:v>1.8208239906868695</c:v>
                </c:pt>
                <c:pt idx="28">
                  <c:v>1.5641701431725517</c:v>
                </c:pt>
                <c:pt idx="29">
                  <c:v>1.3463834616435575</c:v>
                </c:pt>
                <c:pt idx="30">
                  <c:v>1.1611804550763667</c:v>
                </c:pt>
                <c:pt idx="31">
                  <c:v>1.003356176022657</c:v>
                </c:pt>
                <c:pt idx="32">
                  <c:v>0.86858858237830583</c:v>
                </c:pt>
                <c:pt idx="33">
                  <c:v>0.75328024766645352</c:v>
                </c:pt>
                <c:pt idx="34">
                  <c:v>0.65442994266684251</c:v>
                </c:pt>
                <c:pt idx="35">
                  <c:v>0.56952817604806694</c:v>
                </c:pt>
                <c:pt idx="36">
                  <c:v>0.49647200510984218</c:v>
                </c:pt>
                <c:pt idx="37">
                  <c:v>0.43349538725281367</c:v>
                </c:pt>
                <c:pt idx="38">
                  <c:v>0.37911209757648506</c:v>
                </c:pt>
                <c:pt idx="39">
                  <c:v>0.33206883349188848</c:v>
                </c:pt>
                <c:pt idx="40">
                  <c:v>0.29130659839416151</c:v>
                </c:pt>
                <c:pt idx="41">
                  <c:v>0.25592883027410518</c:v>
                </c:pt>
                <c:pt idx="42">
                  <c:v>0.22517503857297338</c:v>
                </c:pt>
                <c:pt idx="43">
                  <c:v>0.19839894985117332</c:v>
                </c:pt>
                <c:pt idx="44">
                  <c:v>0.17505035261161211</c:v>
                </c:pt>
                <c:pt idx="45">
                  <c:v>0.15465998378733276</c:v>
                </c:pt>
                <c:pt idx="46">
                  <c:v>0.13682692172547969</c:v>
                </c:pt>
                <c:pt idx="47">
                  <c:v>0.12120804906941619</c:v>
                </c:pt>
                <c:pt idx="48">
                  <c:v>0.1075092285596608</c:v>
                </c:pt>
                <c:pt idx="49">
                  <c:v>9.5477899235683825E-2</c:v>
                </c:pt>
                <c:pt idx="50">
                  <c:v>8.4896852829233233E-2</c:v>
                </c:pt>
              </c:numCache>
            </c:numRef>
          </c:yVal>
        </c:ser>
        <c:axId val="55037312"/>
        <c:axId val="55035776"/>
      </c:scatterChart>
      <c:valAx>
        <c:axId val="55011968"/>
        <c:scaling>
          <c:orientation val="minMax"/>
        </c:scaling>
        <c:axPos val="b"/>
        <c:numFmt formatCode="General" sourceLinked="1"/>
        <c:tickLblPos val="nextTo"/>
        <c:crossAx val="55034240"/>
        <c:crosses val="autoZero"/>
        <c:crossBetween val="midCat"/>
      </c:valAx>
      <c:valAx>
        <c:axId val="55034240"/>
        <c:scaling>
          <c:orientation val="minMax"/>
        </c:scaling>
        <c:axPos val="l"/>
        <c:majorGridlines/>
        <c:numFmt formatCode="General" sourceLinked="1"/>
        <c:tickLblPos val="nextTo"/>
        <c:crossAx val="55011968"/>
        <c:crosses val="autoZero"/>
        <c:crossBetween val="midCat"/>
      </c:valAx>
      <c:valAx>
        <c:axId val="55035776"/>
        <c:scaling>
          <c:orientation val="minMax"/>
        </c:scaling>
        <c:axPos val="r"/>
        <c:numFmt formatCode="General" sourceLinked="1"/>
        <c:tickLblPos val="nextTo"/>
        <c:crossAx val="55037312"/>
        <c:crosses val="max"/>
        <c:crossBetween val="midCat"/>
      </c:valAx>
      <c:valAx>
        <c:axId val="55037312"/>
        <c:scaling>
          <c:orientation val="minMax"/>
        </c:scaling>
        <c:delete val="1"/>
        <c:axPos val="b"/>
        <c:numFmt formatCode="General" sourceLinked="1"/>
        <c:tickLblPos val="none"/>
        <c:crossAx val="55035776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167" l="0.70000000000000062" r="0.70000000000000062" t="0.75000000000000167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/>
      <c:scatterChart>
        <c:scatterStyle val="lineMarker"/>
        <c:ser>
          <c:idx val="0"/>
          <c:order val="0"/>
          <c:spPr>
            <a:ln w="19050">
              <a:noFill/>
            </a:ln>
          </c:spPr>
          <c:xVal>
            <c:numRef>
              <c:f>altitude!$C$16:$C$66</c:f>
              <c:numCache>
                <c:formatCode>General</c:formatCode>
                <c:ptCount val="51"/>
                <c:pt idx="0">
                  <c:v>0</c:v>
                </c:pt>
                <c:pt idx="1">
                  <c:v>1000</c:v>
                </c:pt>
                <c:pt idx="2">
                  <c:v>2000</c:v>
                </c:pt>
                <c:pt idx="3">
                  <c:v>3000</c:v>
                </c:pt>
                <c:pt idx="4">
                  <c:v>4000</c:v>
                </c:pt>
                <c:pt idx="5">
                  <c:v>5000</c:v>
                </c:pt>
                <c:pt idx="6">
                  <c:v>6000</c:v>
                </c:pt>
                <c:pt idx="7">
                  <c:v>7000</c:v>
                </c:pt>
                <c:pt idx="8">
                  <c:v>8000</c:v>
                </c:pt>
                <c:pt idx="9">
                  <c:v>9000</c:v>
                </c:pt>
                <c:pt idx="10">
                  <c:v>10000</c:v>
                </c:pt>
                <c:pt idx="11">
                  <c:v>11000</c:v>
                </c:pt>
                <c:pt idx="12">
                  <c:v>12000</c:v>
                </c:pt>
                <c:pt idx="13">
                  <c:v>13000</c:v>
                </c:pt>
                <c:pt idx="14">
                  <c:v>14000</c:v>
                </c:pt>
                <c:pt idx="15">
                  <c:v>15000</c:v>
                </c:pt>
                <c:pt idx="16">
                  <c:v>16000</c:v>
                </c:pt>
                <c:pt idx="17">
                  <c:v>17000</c:v>
                </c:pt>
                <c:pt idx="18">
                  <c:v>18000</c:v>
                </c:pt>
                <c:pt idx="19">
                  <c:v>19000</c:v>
                </c:pt>
                <c:pt idx="20">
                  <c:v>20000</c:v>
                </c:pt>
                <c:pt idx="21">
                  <c:v>21000</c:v>
                </c:pt>
                <c:pt idx="22">
                  <c:v>22000</c:v>
                </c:pt>
                <c:pt idx="23">
                  <c:v>23000</c:v>
                </c:pt>
                <c:pt idx="24">
                  <c:v>24000</c:v>
                </c:pt>
                <c:pt idx="25">
                  <c:v>25000</c:v>
                </c:pt>
                <c:pt idx="26">
                  <c:v>26000</c:v>
                </c:pt>
                <c:pt idx="27">
                  <c:v>27000</c:v>
                </c:pt>
                <c:pt idx="28">
                  <c:v>28000</c:v>
                </c:pt>
                <c:pt idx="29">
                  <c:v>29000</c:v>
                </c:pt>
                <c:pt idx="30">
                  <c:v>30000</c:v>
                </c:pt>
                <c:pt idx="31">
                  <c:v>31000</c:v>
                </c:pt>
                <c:pt idx="32">
                  <c:v>32000</c:v>
                </c:pt>
                <c:pt idx="33">
                  <c:v>33000</c:v>
                </c:pt>
                <c:pt idx="34">
                  <c:v>34000</c:v>
                </c:pt>
                <c:pt idx="35">
                  <c:v>35000</c:v>
                </c:pt>
                <c:pt idx="36">
                  <c:v>36000</c:v>
                </c:pt>
                <c:pt idx="37">
                  <c:v>37000</c:v>
                </c:pt>
                <c:pt idx="38">
                  <c:v>38000</c:v>
                </c:pt>
                <c:pt idx="39">
                  <c:v>39000</c:v>
                </c:pt>
                <c:pt idx="40">
                  <c:v>40000</c:v>
                </c:pt>
                <c:pt idx="41">
                  <c:v>41000</c:v>
                </c:pt>
                <c:pt idx="42">
                  <c:v>42000</c:v>
                </c:pt>
                <c:pt idx="43">
                  <c:v>43000</c:v>
                </c:pt>
                <c:pt idx="44">
                  <c:v>44000</c:v>
                </c:pt>
                <c:pt idx="45">
                  <c:v>45000</c:v>
                </c:pt>
                <c:pt idx="46">
                  <c:v>46000</c:v>
                </c:pt>
                <c:pt idx="47">
                  <c:v>47000</c:v>
                </c:pt>
                <c:pt idx="48">
                  <c:v>48000</c:v>
                </c:pt>
                <c:pt idx="49">
                  <c:v>49000</c:v>
                </c:pt>
                <c:pt idx="50">
                  <c:v>50000</c:v>
                </c:pt>
              </c:numCache>
            </c:numRef>
          </c:xVal>
          <c:yVal>
            <c:numRef>
              <c:f>altitude!$D$16:$D$66</c:f>
              <c:numCache>
                <c:formatCode>General</c:formatCode>
                <c:ptCount val="51"/>
                <c:pt idx="0">
                  <c:v>15</c:v>
                </c:pt>
                <c:pt idx="1">
                  <c:v>8.5499999999999989</c:v>
                </c:pt>
                <c:pt idx="2">
                  <c:v>2.0599999999999987</c:v>
                </c:pt>
                <c:pt idx="3">
                  <c:v>-4.43</c:v>
                </c:pt>
                <c:pt idx="4">
                  <c:v>-10.920000000000002</c:v>
                </c:pt>
                <c:pt idx="5">
                  <c:v>-17.410000000000004</c:v>
                </c:pt>
                <c:pt idx="6">
                  <c:v>-23.9</c:v>
                </c:pt>
                <c:pt idx="7">
                  <c:v>-30.39</c:v>
                </c:pt>
                <c:pt idx="8">
                  <c:v>-36.880000000000003</c:v>
                </c:pt>
                <c:pt idx="9">
                  <c:v>-43.370000000000005</c:v>
                </c:pt>
                <c:pt idx="10">
                  <c:v>-49.860000000000007</c:v>
                </c:pt>
                <c:pt idx="11">
                  <c:v>-56.35</c:v>
                </c:pt>
                <c:pt idx="12">
                  <c:v>-56.46</c:v>
                </c:pt>
                <c:pt idx="13">
                  <c:v>-56.46</c:v>
                </c:pt>
                <c:pt idx="14">
                  <c:v>-56.46</c:v>
                </c:pt>
                <c:pt idx="15">
                  <c:v>-56.46</c:v>
                </c:pt>
                <c:pt idx="16">
                  <c:v>-56.46</c:v>
                </c:pt>
                <c:pt idx="17">
                  <c:v>-56.46</c:v>
                </c:pt>
                <c:pt idx="18">
                  <c:v>-56.46</c:v>
                </c:pt>
                <c:pt idx="19">
                  <c:v>-56.46</c:v>
                </c:pt>
                <c:pt idx="20">
                  <c:v>-56.46</c:v>
                </c:pt>
                <c:pt idx="21">
                  <c:v>-56.46</c:v>
                </c:pt>
                <c:pt idx="22">
                  <c:v>-56.46</c:v>
                </c:pt>
                <c:pt idx="23">
                  <c:v>-56.46</c:v>
                </c:pt>
                <c:pt idx="24">
                  <c:v>-56.46</c:v>
                </c:pt>
                <c:pt idx="25">
                  <c:v>-56.46</c:v>
                </c:pt>
                <c:pt idx="26">
                  <c:v>-53.470000000000013</c:v>
                </c:pt>
                <c:pt idx="27">
                  <c:v>-50.480000000000004</c:v>
                </c:pt>
                <c:pt idx="28">
                  <c:v>-47.490000000000009</c:v>
                </c:pt>
                <c:pt idx="29">
                  <c:v>-44.5</c:v>
                </c:pt>
                <c:pt idx="30">
                  <c:v>-41.510000000000005</c:v>
                </c:pt>
                <c:pt idx="31">
                  <c:v>-38.52000000000001</c:v>
                </c:pt>
                <c:pt idx="32">
                  <c:v>-35.53</c:v>
                </c:pt>
                <c:pt idx="33">
                  <c:v>-32.540000000000006</c:v>
                </c:pt>
                <c:pt idx="34">
                  <c:v>-29.550000000000011</c:v>
                </c:pt>
                <c:pt idx="35">
                  <c:v>-26.560000000000002</c:v>
                </c:pt>
                <c:pt idx="36">
                  <c:v>-23.570000000000007</c:v>
                </c:pt>
                <c:pt idx="37">
                  <c:v>-20.580000000000013</c:v>
                </c:pt>
                <c:pt idx="38">
                  <c:v>-17.590000000000003</c:v>
                </c:pt>
                <c:pt idx="39">
                  <c:v>-14.600000000000009</c:v>
                </c:pt>
                <c:pt idx="40">
                  <c:v>-11.61</c:v>
                </c:pt>
                <c:pt idx="41">
                  <c:v>-8.6200000000000045</c:v>
                </c:pt>
                <c:pt idx="42">
                  <c:v>-5.6300000000000097</c:v>
                </c:pt>
                <c:pt idx="43">
                  <c:v>-2.6400000000000148</c:v>
                </c:pt>
                <c:pt idx="44">
                  <c:v>0.34999999999999432</c:v>
                </c:pt>
                <c:pt idx="45">
                  <c:v>3.3400000000000034</c:v>
                </c:pt>
                <c:pt idx="46">
                  <c:v>6.3299999999999841</c:v>
                </c:pt>
                <c:pt idx="47">
                  <c:v>9.3199999999999932</c:v>
                </c:pt>
                <c:pt idx="48">
                  <c:v>12.310000000000002</c:v>
                </c:pt>
                <c:pt idx="49">
                  <c:v>15.299999999999983</c:v>
                </c:pt>
                <c:pt idx="50">
                  <c:v>18.289999999999992</c:v>
                </c:pt>
              </c:numCache>
            </c:numRef>
          </c:yVal>
        </c:ser>
        <c:axId val="60693120"/>
        <c:axId val="60699008"/>
      </c:scatterChart>
      <c:valAx>
        <c:axId val="60693120"/>
        <c:scaling>
          <c:orientation val="minMax"/>
        </c:scaling>
        <c:axPos val="b"/>
        <c:numFmt formatCode="General" sourceLinked="1"/>
        <c:tickLblPos val="nextTo"/>
        <c:crossAx val="60699008"/>
        <c:crosses val="autoZero"/>
        <c:crossBetween val="midCat"/>
      </c:valAx>
      <c:valAx>
        <c:axId val="60699008"/>
        <c:scaling>
          <c:orientation val="minMax"/>
        </c:scaling>
        <c:axPos val="l"/>
        <c:majorGridlines/>
        <c:numFmt formatCode="General" sourceLinked="1"/>
        <c:tickLblPos val="nextTo"/>
        <c:crossAx val="60693120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167" l="0.70000000000000062" r="0.70000000000000062" t="0.75000000000000167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GB"/>
  <c:chart>
    <c:plotArea>
      <c:layout/>
      <c:scatterChart>
        <c:scatterStyle val="lineMarker"/>
        <c:ser>
          <c:idx val="0"/>
          <c:order val="0"/>
          <c:spPr>
            <a:ln w="19050">
              <a:solidFill>
                <a:schemeClr val="accent1">
                  <a:lumMod val="75000"/>
                </a:schemeClr>
              </a:solidFill>
            </a:ln>
          </c:spPr>
          <c:marker>
            <c:symbol val="none"/>
          </c:marker>
          <c:xVal>
            <c:numRef>
              <c:f>altitude!$H$16:$H$66</c:f>
              <c:numCache>
                <c:formatCode>0</c:formatCode>
                <c:ptCount val="51"/>
                <c:pt idx="0">
                  <c:v>10132.696604401894</c:v>
                </c:pt>
                <c:pt idx="1">
                  <c:v>8995.8074047557348</c:v>
                </c:pt>
                <c:pt idx="2">
                  <c:v>7958.4045972258564</c:v>
                </c:pt>
                <c:pt idx="3">
                  <c:v>7020.0734976891408</c:v>
                </c:pt>
                <c:pt idx="4">
                  <c:v>6173.4076581570225</c:v>
                </c:pt>
                <c:pt idx="5">
                  <c:v>5411.3934001748439</c:v>
                </c:pt>
                <c:pt idx="6">
                  <c:v>4727.3979358715214</c:v>
                </c:pt>
                <c:pt idx="7">
                  <c:v>4115.157564066436</c:v>
                </c:pt>
                <c:pt idx="8">
                  <c:v>3568.7659428470765</c:v>
                </c:pt>
                <c:pt idx="9">
                  <c:v>3082.6624400952551</c:v>
                </c:pt>
                <c:pt idx="10">
                  <c:v>2651.6205635082188</c:v>
                </c:pt>
                <c:pt idx="11">
                  <c:v>2270.7364717350815</c:v>
                </c:pt>
                <c:pt idx="12">
                  <c:v>1941.7211275909513</c:v>
                </c:pt>
                <c:pt idx="13">
                  <c:v>1659.5969288440383</c:v>
                </c:pt>
                <c:pt idx="14">
                  <c:v>1418.464231084364</c:v>
                </c:pt>
                <c:pt idx="15">
                  <c:v>1212.3671355955128</c:v>
                </c:pt>
                <c:pt idx="16">
                  <c:v>1036.2151115706554</c:v>
                </c:pt>
                <c:pt idx="17">
                  <c:v>885.65726166765955</c:v>
                </c:pt>
                <c:pt idx="18">
                  <c:v>756.97485626870525</c:v>
                </c:pt>
                <c:pt idx="19">
                  <c:v>646.98948207579622</c:v>
                </c:pt>
                <c:pt idx="20">
                  <c:v>552.98453634253519</c:v>
                </c:pt>
                <c:pt idx="21">
                  <c:v>472.63812767538036</c:v>
                </c:pt>
                <c:pt idx="22">
                  <c:v>403.96572607613894</c:v>
                </c:pt>
                <c:pt idx="23">
                  <c:v>345.27114570050907</c:v>
                </c:pt>
                <c:pt idx="24">
                  <c:v>295.10464962285738</c:v>
                </c:pt>
                <c:pt idx="25">
                  <c:v>252.2271418086271</c:v>
                </c:pt>
                <c:pt idx="26">
                  <c:v>212.3949510505397</c:v>
                </c:pt>
                <c:pt idx="27">
                  <c:v>182.08239906868695</c:v>
                </c:pt>
                <c:pt idx="28">
                  <c:v>156.41701431725517</c:v>
                </c:pt>
                <c:pt idx="29">
                  <c:v>134.63834616435574</c:v>
                </c:pt>
                <c:pt idx="30">
                  <c:v>116.11804550763667</c:v>
                </c:pt>
                <c:pt idx="31">
                  <c:v>100.3356176022657</c:v>
                </c:pt>
                <c:pt idx="32">
                  <c:v>86.858858237830589</c:v>
                </c:pt>
                <c:pt idx="33">
                  <c:v>75.328024766645356</c:v>
                </c:pt>
                <c:pt idx="34">
                  <c:v>65.442994266684252</c:v>
                </c:pt>
                <c:pt idx="35">
                  <c:v>56.952817604806697</c:v>
                </c:pt>
                <c:pt idx="36">
                  <c:v>49.64720051098422</c:v>
                </c:pt>
                <c:pt idx="37">
                  <c:v>43.34953872528137</c:v>
                </c:pt>
                <c:pt idx="38">
                  <c:v>37.911209757648507</c:v>
                </c:pt>
                <c:pt idx="39">
                  <c:v>33.20688334918885</c:v>
                </c:pt>
                <c:pt idx="40">
                  <c:v>29.13065983941615</c:v>
                </c:pt>
                <c:pt idx="41">
                  <c:v>25.592883027410519</c:v>
                </c:pt>
                <c:pt idx="42">
                  <c:v>22.517503857297338</c:v>
                </c:pt>
                <c:pt idx="43">
                  <c:v>19.839894985117333</c:v>
                </c:pt>
                <c:pt idx="44">
                  <c:v>17.505035261161211</c:v>
                </c:pt>
                <c:pt idx="45">
                  <c:v>15.465998378733275</c:v>
                </c:pt>
                <c:pt idx="46">
                  <c:v>13.68269217254797</c:v>
                </c:pt>
                <c:pt idx="47">
                  <c:v>12.12080490694162</c:v>
                </c:pt>
                <c:pt idx="48">
                  <c:v>10.750922855966079</c:v>
                </c:pt>
                <c:pt idx="49">
                  <c:v>9.5477899235683825</c:v>
                </c:pt>
                <c:pt idx="50">
                  <c:v>8.4896852829233236</c:v>
                </c:pt>
              </c:numCache>
            </c:numRef>
          </c:xVal>
          <c:yVal>
            <c:numRef>
              <c:f>altitude!$K$16:$K$66</c:f>
              <c:numCache>
                <c:formatCode>0</c:formatCode>
                <c:ptCount val="51"/>
                <c:pt idx="0">
                  <c:v>6.0748541795804858</c:v>
                </c:pt>
                <c:pt idx="1">
                  <c:v>998.13049659390583</c:v>
                </c:pt>
                <c:pt idx="2">
                  <c:v>1996.3451599665777</c:v>
                </c:pt>
                <c:pt idx="3">
                  <c:v>2994.5667412380612</c:v>
                </c:pt>
                <c:pt idx="4">
                  <c:v>3992.7954075991497</c:v>
                </c:pt>
                <c:pt idx="5">
                  <c:v>4991.0313345216209</c:v>
                </c:pt>
                <c:pt idx="6">
                  <c:v>5989.2747063891757</c:v>
                </c:pt>
                <c:pt idx="7">
                  <c:v>6987.5257171940411</c:v>
                </c:pt>
                <c:pt idx="8">
                  <c:v>7985.784571308257</c:v>
                </c:pt>
                <c:pt idx="9">
                  <c:v>8984.0514843396595</c:v>
                </c:pt>
                <c:pt idx="10">
                  <c:v>9982.3266840847518</c:v>
                </c:pt>
                <c:pt idx="11">
                  <c:v>10980.610411592412</c:v>
                </c:pt>
                <c:pt idx="12">
                  <c:v>11958.88792406689</c:v>
                </c:pt>
                <c:pt idx="13">
                  <c:v>12911.28124242155</c:v>
                </c:pt>
                <c:pt idx="14">
                  <c:v>13835.654779526772</c:v>
                </c:pt>
                <c:pt idx="15">
                  <c:v>14732.832888227267</c:v>
                </c:pt>
                <c:pt idx="16">
                  <c:v>15603.615668586939</c:v>
                </c:pt>
                <c:pt idx="17">
                  <c:v>16448.779681415137</c:v>
                </c:pt>
                <c:pt idx="18">
                  <c:v>17269.078640800653</c:v>
                </c:pt>
                <c:pt idx="19">
                  <c:v>18065.244086271105</c:v>
                </c:pt>
                <c:pt idx="20">
                  <c:v>18837.986035177149</c:v>
                </c:pt>
                <c:pt idx="21">
                  <c:v>19587.993615883282</c:v>
                </c:pt>
                <c:pt idx="22">
                  <c:v>20315.935682329917</c:v>
                </c:pt>
                <c:pt idx="23">
                  <c:v>21022.461410514814</c:v>
                </c:pt>
                <c:pt idx="24">
                  <c:v>21708.20087742581</c:v>
                </c:pt>
                <c:pt idx="25">
                  <c:v>22373.765622941079</c:v>
                </c:pt>
                <c:pt idx="26">
                  <c:v>23079.988950963161</c:v>
                </c:pt>
                <c:pt idx="27">
                  <c:v>23693.376318865063</c:v>
                </c:pt>
                <c:pt idx="28">
                  <c:v>24281.22556802721</c:v>
                </c:pt>
                <c:pt idx="29">
                  <c:v>24844.917620968801</c:v>
                </c:pt>
                <c:pt idx="30">
                  <c:v>25385.741993795593</c:v>
                </c:pt>
                <c:pt idx="31">
                  <c:v>25904.903926317907</c:v>
                </c:pt>
                <c:pt idx="32">
                  <c:v>26403.53087387075</c:v>
                </c:pt>
                <c:pt idx="33">
                  <c:v>26882.678425146587</c:v>
                </c:pt>
                <c:pt idx="34">
                  <c:v>27343.335703167693</c:v>
                </c:pt>
                <c:pt idx="35">
                  <c:v>27786.430300219512</c:v>
                </c:pt>
                <c:pt idx="36">
                  <c:v>28212.83279202459</c:v>
                </c:pt>
                <c:pt idx="37">
                  <c:v>28623.360871556473</c:v>
                </c:pt>
                <c:pt idx="38">
                  <c:v>29018.783138589912</c:v>
                </c:pt>
                <c:pt idx="39">
                  <c:v>29399.822577282575</c:v>
                </c:pt>
                <c:pt idx="40">
                  <c:v>29767.159750721872</c:v>
                </c:pt>
                <c:pt idx="41">
                  <c:v>30121.435738391956</c:v>
                </c:pt>
                <c:pt idx="42">
                  <c:v>30463.25483987436</c:v>
                </c:pt>
                <c:pt idx="43">
                  <c:v>30793.187065748494</c:v>
                </c:pt>
                <c:pt idx="44">
                  <c:v>31111.770434570532</c:v>
                </c:pt>
                <c:pt idx="45">
                  <c:v>31419.513092949648</c:v>
                </c:pt>
                <c:pt idx="46">
                  <c:v>31716.895274081711</c:v>
                </c:pt>
                <c:pt idx="47">
                  <c:v>32004.371108619398</c:v>
                </c:pt>
                <c:pt idx="48">
                  <c:v>32282.370300433249</c:v>
                </c:pt>
                <c:pt idx="49">
                  <c:v>32551.299678632287</c:v>
                </c:pt>
                <c:pt idx="50">
                  <c:v>32811.544636150233</c:v>
                </c:pt>
              </c:numCache>
            </c:numRef>
          </c:yVal>
        </c:ser>
        <c:ser>
          <c:idx val="1"/>
          <c:order val="1"/>
          <c:spPr>
            <a:ln w="19050">
              <a:solidFill>
                <a:srgbClr val="FFC000"/>
              </a:solidFill>
            </a:ln>
          </c:spPr>
          <c:marker>
            <c:symbol val="none"/>
          </c:marker>
          <c:xVal>
            <c:numRef>
              <c:f>altitude!$H$16:$H$66</c:f>
              <c:numCache>
                <c:formatCode>0</c:formatCode>
                <c:ptCount val="51"/>
                <c:pt idx="0">
                  <c:v>10132.696604401894</c:v>
                </c:pt>
                <c:pt idx="1">
                  <c:v>8995.8074047557348</c:v>
                </c:pt>
                <c:pt idx="2">
                  <c:v>7958.4045972258564</c:v>
                </c:pt>
                <c:pt idx="3">
                  <c:v>7020.0734976891408</c:v>
                </c:pt>
                <c:pt idx="4">
                  <c:v>6173.4076581570225</c:v>
                </c:pt>
                <c:pt idx="5">
                  <c:v>5411.3934001748439</c:v>
                </c:pt>
                <c:pt idx="6">
                  <c:v>4727.3979358715214</c:v>
                </c:pt>
                <c:pt idx="7">
                  <c:v>4115.157564066436</c:v>
                </c:pt>
                <c:pt idx="8">
                  <c:v>3568.7659428470765</c:v>
                </c:pt>
                <c:pt idx="9">
                  <c:v>3082.6624400952551</c:v>
                </c:pt>
                <c:pt idx="10">
                  <c:v>2651.6205635082188</c:v>
                </c:pt>
                <c:pt idx="11">
                  <c:v>2270.7364717350815</c:v>
                </c:pt>
                <c:pt idx="12">
                  <c:v>1941.7211275909513</c:v>
                </c:pt>
                <c:pt idx="13">
                  <c:v>1659.5969288440383</c:v>
                </c:pt>
                <c:pt idx="14">
                  <c:v>1418.464231084364</c:v>
                </c:pt>
                <c:pt idx="15">
                  <c:v>1212.3671355955128</c:v>
                </c:pt>
                <c:pt idx="16">
                  <c:v>1036.2151115706554</c:v>
                </c:pt>
                <c:pt idx="17">
                  <c:v>885.65726166765955</c:v>
                </c:pt>
                <c:pt idx="18">
                  <c:v>756.97485626870525</c:v>
                </c:pt>
                <c:pt idx="19">
                  <c:v>646.98948207579622</c:v>
                </c:pt>
                <c:pt idx="20">
                  <c:v>552.98453634253519</c:v>
                </c:pt>
                <c:pt idx="21">
                  <c:v>472.63812767538036</c:v>
                </c:pt>
                <c:pt idx="22">
                  <c:v>403.96572607613894</c:v>
                </c:pt>
                <c:pt idx="23">
                  <c:v>345.27114570050907</c:v>
                </c:pt>
                <c:pt idx="24">
                  <c:v>295.10464962285738</c:v>
                </c:pt>
                <c:pt idx="25">
                  <c:v>252.2271418086271</c:v>
                </c:pt>
                <c:pt idx="26">
                  <c:v>212.3949510505397</c:v>
                </c:pt>
                <c:pt idx="27">
                  <c:v>182.08239906868695</c:v>
                </c:pt>
                <c:pt idx="28">
                  <c:v>156.41701431725517</c:v>
                </c:pt>
                <c:pt idx="29">
                  <c:v>134.63834616435574</c:v>
                </c:pt>
                <c:pt idx="30">
                  <c:v>116.11804550763667</c:v>
                </c:pt>
                <c:pt idx="31">
                  <c:v>100.3356176022657</c:v>
                </c:pt>
                <c:pt idx="32">
                  <c:v>86.858858237830589</c:v>
                </c:pt>
                <c:pt idx="33">
                  <c:v>75.328024766645356</c:v>
                </c:pt>
                <c:pt idx="34">
                  <c:v>65.442994266684252</c:v>
                </c:pt>
                <c:pt idx="35">
                  <c:v>56.952817604806697</c:v>
                </c:pt>
                <c:pt idx="36">
                  <c:v>49.64720051098422</c:v>
                </c:pt>
                <c:pt idx="37">
                  <c:v>43.34953872528137</c:v>
                </c:pt>
                <c:pt idx="38">
                  <c:v>37.911209757648507</c:v>
                </c:pt>
                <c:pt idx="39">
                  <c:v>33.20688334918885</c:v>
                </c:pt>
                <c:pt idx="40">
                  <c:v>29.13065983941615</c:v>
                </c:pt>
                <c:pt idx="41">
                  <c:v>25.592883027410519</c:v>
                </c:pt>
                <c:pt idx="42">
                  <c:v>22.517503857297338</c:v>
                </c:pt>
                <c:pt idx="43">
                  <c:v>19.839894985117333</c:v>
                </c:pt>
                <c:pt idx="44">
                  <c:v>17.505035261161211</c:v>
                </c:pt>
                <c:pt idx="45">
                  <c:v>15.465998378733275</c:v>
                </c:pt>
                <c:pt idx="46">
                  <c:v>13.68269217254797</c:v>
                </c:pt>
                <c:pt idx="47">
                  <c:v>12.12080490694162</c:v>
                </c:pt>
                <c:pt idx="48">
                  <c:v>10.750922855966079</c:v>
                </c:pt>
                <c:pt idx="49">
                  <c:v>9.5477899235683825</c:v>
                </c:pt>
                <c:pt idx="50">
                  <c:v>8.4896852829233236</c:v>
                </c:pt>
              </c:numCache>
            </c:numRef>
          </c:xVal>
          <c:yVal>
            <c:numRef>
              <c:f>altitude!$L$16:$L$66</c:f>
              <c:numCache>
                <c:formatCode>General</c:formatCode>
                <c:ptCount val="51"/>
                <c:pt idx="0">
                  <c:v>0</c:v>
                </c:pt>
                <c:pt idx="1">
                  <c:v>1000</c:v>
                </c:pt>
                <c:pt idx="2">
                  <c:v>2000</c:v>
                </c:pt>
                <c:pt idx="3">
                  <c:v>3000</c:v>
                </c:pt>
                <c:pt idx="4">
                  <c:v>4000</c:v>
                </c:pt>
                <c:pt idx="5">
                  <c:v>5000</c:v>
                </c:pt>
                <c:pt idx="6">
                  <c:v>6000</c:v>
                </c:pt>
                <c:pt idx="7">
                  <c:v>7000</c:v>
                </c:pt>
                <c:pt idx="8">
                  <c:v>8000</c:v>
                </c:pt>
                <c:pt idx="9">
                  <c:v>9000</c:v>
                </c:pt>
                <c:pt idx="10">
                  <c:v>10000</c:v>
                </c:pt>
                <c:pt idx="11">
                  <c:v>11000</c:v>
                </c:pt>
                <c:pt idx="12">
                  <c:v>12000</c:v>
                </c:pt>
                <c:pt idx="13">
                  <c:v>13000</c:v>
                </c:pt>
                <c:pt idx="14">
                  <c:v>14000</c:v>
                </c:pt>
                <c:pt idx="15">
                  <c:v>15000</c:v>
                </c:pt>
                <c:pt idx="16">
                  <c:v>16000</c:v>
                </c:pt>
                <c:pt idx="17">
                  <c:v>17000</c:v>
                </c:pt>
                <c:pt idx="18">
                  <c:v>18000</c:v>
                </c:pt>
                <c:pt idx="19">
                  <c:v>19000</c:v>
                </c:pt>
                <c:pt idx="20">
                  <c:v>20000</c:v>
                </c:pt>
                <c:pt idx="21">
                  <c:v>21000</c:v>
                </c:pt>
                <c:pt idx="22">
                  <c:v>22000</c:v>
                </c:pt>
                <c:pt idx="23">
                  <c:v>23000</c:v>
                </c:pt>
                <c:pt idx="24">
                  <c:v>24000</c:v>
                </c:pt>
                <c:pt idx="25">
                  <c:v>25000</c:v>
                </c:pt>
                <c:pt idx="26">
                  <c:v>26000</c:v>
                </c:pt>
                <c:pt idx="27">
                  <c:v>27000</c:v>
                </c:pt>
                <c:pt idx="28">
                  <c:v>28000</c:v>
                </c:pt>
                <c:pt idx="29">
                  <c:v>29000</c:v>
                </c:pt>
                <c:pt idx="30">
                  <c:v>30000</c:v>
                </c:pt>
                <c:pt idx="31">
                  <c:v>31000</c:v>
                </c:pt>
                <c:pt idx="32">
                  <c:v>32000</c:v>
                </c:pt>
                <c:pt idx="33">
                  <c:v>33000</c:v>
                </c:pt>
                <c:pt idx="34">
                  <c:v>34000</c:v>
                </c:pt>
                <c:pt idx="35">
                  <c:v>35000</c:v>
                </c:pt>
                <c:pt idx="36">
                  <c:v>36000</c:v>
                </c:pt>
                <c:pt idx="37">
                  <c:v>37000</c:v>
                </c:pt>
                <c:pt idx="38">
                  <c:v>38000</c:v>
                </c:pt>
                <c:pt idx="39">
                  <c:v>39000</c:v>
                </c:pt>
                <c:pt idx="40">
                  <c:v>40000</c:v>
                </c:pt>
                <c:pt idx="41">
                  <c:v>41000</c:v>
                </c:pt>
                <c:pt idx="42">
                  <c:v>42000</c:v>
                </c:pt>
                <c:pt idx="43">
                  <c:v>43000</c:v>
                </c:pt>
                <c:pt idx="44">
                  <c:v>44000</c:v>
                </c:pt>
                <c:pt idx="45">
                  <c:v>45000</c:v>
                </c:pt>
                <c:pt idx="46">
                  <c:v>46000</c:v>
                </c:pt>
                <c:pt idx="47">
                  <c:v>47000</c:v>
                </c:pt>
                <c:pt idx="48">
                  <c:v>48000</c:v>
                </c:pt>
                <c:pt idx="49">
                  <c:v>49000</c:v>
                </c:pt>
                <c:pt idx="50">
                  <c:v>50000</c:v>
                </c:pt>
              </c:numCache>
            </c:numRef>
          </c:yVal>
        </c:ser>
        <c:axId val="60719488"/>
        <c:axId val="60721024"/>
      </c:scatterChart>
      <c:valAx>
        <c:axId val="60719488"/>
        <c:scaling>
          <c:orientation val="minMax"/>
          <c:max val="2000"/>
        </c:scaling>
        <c:axPos val="b"/>
        <c:numFmt formatCode="0" sourceLinked="1"/>
        <c:tickLblPos val="nextTo"/>
        <c:crossAx val="60721024"/>
        <c:crosses val="autoZero"/>
        <c:crossBetween val="midCat"/>
      </c:valAx>
      <c:valAx>
        <c:axId val="60721024"/>
        <c:scaling>
          <c:orientation val="minMax"/>
        </c:scaling>
        <c:axPos val="l"/>
        <c:majorGridlines/>
        <c:numFmt formatCode="0" sourceLinked="1"/>
        <c:tickLblPos val="nextTo"/>
        <c:crossAx val="60719488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png"/><Relationship Id="rId1" Type="http://schemas.openxmlformats.org/officeDocument/2006/relationships/image" Target="../media/image34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12.png"/><Relationship Id="rId1" Type="http://schemas.openxmlformats.org/officeDocument/2006/relationships/image" Target="../media/image36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3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304306</xdr:colOff>
      <xdr:row>27</xdr:row>
      <xdr:rowOff>72985</xdr:rowOff>
    </xdr:from>
    <xdr:to>
      <xdr:col>13</xdr:col>
      <xdr:colOff>230085</xdr:colOff>
      <xdr:row>39</xdr:row>
      <xdr:rowOff>3712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58608" t="33556" r="10077" b="40586"/>
        <a:stretch>
          <a:fillRect/>
        </a:stretch>
      </xdr:blipFill>
      <xdr:spPr bwMode="auto">
        <a:xfrm>
          <a:off x="916627" y="5216485"/>
          <a:ext cx="7382494" cy="221672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555419</xdr:colOff>
      <xdr:row>9</xdr:row>
      <xdr:rowOff>33399</xdr:rowOff>
    </xdr:from>
    <xdr:to>
      <xdr:col>28</xdr:col>
      <xdr:colOff>590056</xdr:colOff>
      <xdr:row>17</xdr:row>
      <xdr:rowOff>119991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63971" t="38081" r="9909" b="43131"/>
        <a:stretch>
          <a:fillRect/>
        </a:stretch>
      </xdr:blipFill>
      <xdr:spPr bwMode="auto">
        <a:xfrm>
          <a:off x="11577205" y="1747899"/>
          <a:ext cx="6157851" cy="16105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571500</xdr:colOff>
      <xdr:row>15</xdr:row>
      <xdr:rowOff>136071</xdr:rowOff>
    </xdr:from>
    <xdr:to>
      <xdr:col>19</xdr:col>
      <xdr:colOff>13607</xdr:colOff>
      <xdr:row>20</xdr:row>
      <xdr:rowOff>68036</xdr:rowOff>
    </xdr:to>
    <xdr:cxnSp macro="">
      <xdr:nvCxnSpPr>
        <xdr:cNvPr id="5" name="Straight Arrow Connector 4"/>
        <xdr:cNvCxnSpPr/>
      </xdr:nvCxnSpPr>
      <xdr:spPr>
        <a:xfrm flipV="1">
          <a:off x="9756321" y="2993571"/>
          <a:ext cx="1891393" cy="88446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517071</xdr:colOff>
      <xdr:row>19</xdr:row>
      <xdr:rowOff>149679</xdr:rowOff>
    </xdr:from>
    <xdr:to>
      <xdr:col>32</xdr:col>
      <xdr:colOff>462643</xdr:colOff>
      <xdr:row>25</xdr:row>
      <xdr:rowOff>136071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56569" t="45079" r="15089" b="41746"/>
        <a:stretch>
          <a:fillRect/>
        </a:stretch>
      </xdr:blipFill>
      <xdr:spPr bwMode="auto">
        <a:xfrm>
          <a:off x="13375821" y="3769179"/>
          <a:ext cx="6681108" cy="11293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20</xdr:col>
      <xdr:colOff>302078</xdr:colOff>
      <xdr:row>21</xdr:row>
      <xdr:rowOff>68036</xdr:rowOff>
    </xdr:from>
    <xdr:to>
      <xdr:col>21</xdr:col>
      <xdr:colOff>449036</xdr:colOff>
      <xdr:row>21</xdr:row>
      <xdr:rowOff>84366</xdr:rowOff>
    </xdr:to>
    <xdr:cxnSp macro="">
      <xdr:nvCxnSpPr>
        <xdr:cNvPr id="8" name="Straight Arrow Connector 7"/>
        <xdr:cNvCxnSpPr/>
      </xdr:nvCxnSpPr>
      <xdr:spPr>
        <a:xfrm flipV="1">
          <a:off x="12548507" y="4068536"/>
          <a:ext cx="759279" cy="1633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27214</xdr:colOff>
      <xdr:row>27</xdr:row>
      <xdr:rowOff>95251</xdr:rowOff>
    </xdr:from>
    <xdr:to>
      <xdr:col>29</xdr:col>
      <xdr:colOff>421822</xdr:colOff>
      <xdr:row>28</xdr:row>
      <xdr:rowOff>95250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l="57723" t="56349" r="22420" b="41429"/>
        <a:stretch>
          <a:fillRect/>
        </a:stretch>
      </xdr:blipFill>
      <xdr:spPr bwMode="auto">
        <a:xfrm>
          <a:off x="13498285" y="5238751"/>
          <a:ext cx="4680858" cy="1904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17</xdr:col>
      <xdr:colOff>127907</xdr:colOff>
      <xdr:row>22</xdr:row>
      <xdr:rowOff>114302</xdr:rowOff>
    </xdr:from>
    <xdr:to>
      <xdr:col>21</xdr:col>
      <xdr:colOff>571500</xdr:colOff>
      <xdr:row>27</xdr:row>
      <xdr:rowOff>108857</xdr:rowOff>
    </xdr:to>
    <xdr:cxnSp macro="">
      <xdr:nvCxnSpPr>
        <xdr:cNvPr id="11" name="Straight Arrow Connector 10"/>
        <xdr:cNvCxnSpPr/>
      </xdr:nvCxnSpPr>
      <xdr:spPr>
        <a:xfrm>
          <a:off x="10537371" y="4305302"/>
          <a:ext cx="2892879" cy="94705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163286</xdr:colOff>
      <xdr:row>31</xdr:row>
      <xdr:rowOff>163285</xdr:rowOff>
    </xdr:from>
    <xdr:to>
      <xdr:col>32</xdr:col>
      <xdr:colOff>353786</xdr:colOff>
      <xdr:row>43</xdr:row>
      <xdr:rowOff>27214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l="57031" t="42381" r="16186" b="31905"/>
        <a:stretch>
          <a:fillRect/>
        </a:stretch>
      </xdr:blipFill>
      <xdr:spPr bwMode="auto">
        <a:xfrm>
          <a:off x="13634357" y="6068785"/>
          <a:ext cx="6313714" cy="220435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18</xdr:col>
      <xdr:colOff>0</xdr:colOff>
      <xdr:row>24</xdr:row>
      <xdr:rowOff>0</xdr:rowOff>
    </xdr:from>
    <xdr:to>
      <xdr:col>21</xdr:col>
      <xdr:colOff>571500</xdr:colOff>
      <xdr:row>30</xdr:row>
      <xdr:rowOff>95250</xdr:rowOff>
    </xdr:to>
    <xdr:cxnSp macro="">
      <xdr:nvCxnSpPr>
        <xdr:cNvPr id="14" name="Straight Arrow Connector 13"/>
        <xdr:cNvCxnSpPr/>
      </xdr:nvCxnSpPr>
      <xdr:spPr>
        <a:xfrm>
          <a:off x="11021786" y="4572000"/>
          <a:ext cx="2408464" cy="12382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217716</xdr:colOff>
      <xdr:row>45</xdr:row>
      <xdr:rowOff>27214</xdr:rowOff>
    </xdr:from>
    <xdr:to>
      <xdr:col>31</xdr:col>
      <xdr:colOff>244930</xdr:colOff>
      <xdr:row>49</xdr:row>
      <xdr:rowOff>163286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l="57031" t="34762" r="19476" b="54762"/>
        <a:stretch>
          <a:fillRect/>
        </a:stretch>
      </xdr:blipFill>
      <xdr:spPr bwMode="auto">
        <a:xfrm>
          <a:off x="13688787" y="8599714"/>
          <a:ext cx="5538106" cy="8980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17</xdr:col>
      <xdr:colOff>57151</xdr:colOff>
      <xdr:row>25</xdr:row>
      <xdr:rowOff>97971</xdr:rowOff>
    </xdr:from>
    <xdr:to>
      <xdr:col>22</xdr:col>
      <xdr:colOff>231322</xdr:colOff>
      <xdr:row>45</xdr:row>
      <xdr:rowOff>176893</xdr:rowOff>
    </xdr:to>
    <xdr:cxnSp macro="">
      <xdr:nvCxnSpPr>
        <xdr:cNvPr id="18" name="Straight Arrow Connector 17"/>
        <xdr:cNvCxnSpPr/>
      </xdr:nvCxnSpPr>
      <xdr:spPr>
        <a:xfrm>
          <a:off x="10466615" y="4860471"/>
          <a:ext cx="3235778" cy="388892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176893</xdr:colOff>
      <xdr:row>14</xdr:row>
      <xdr:rowOff>13607</xdr:rowOff>
    </xdr:from>
    <xdr:to>
      <xdr:col>9</xdr:col>
      <xdr:colOff>108857</xdr:colOff>
      <xdr:row>18</xdr:row>
      <xdr:rowOff>166655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l="55067" t="43417" r="14396" b="38752"/>
        <a:stretch>
          <a:fillRect/>
        </a:stretch>
      </xdr:blipFill>
      <xdr:spPr bwMode="auto">
        <a:xfrm>
          <a:off x="789214" y="2490107"/>
          <a:ext cx="4939393" cy="9150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190500</xdr:colOff>
      <xdr:row>18</xdr:row>
      <xdr:rowOff>0</xdr:rowOff>
    </xdr:from>
    <xdr:to>
      <xdr:col>2</xdr:col>
      <xdr:colOff>326571</xdr:colOff>
      <xdr:row>19</xdr:row>
      <xdr:rowOff>0</xdr:rowOff>
    </xdr:to>
    <xdr:sp macro="" textlink="">
      <xdr:nvSpPr>
        <xdr:cNvPr id="21" name="Oval 20"/>
        <xdr:cNvSpPr/>
      </xdr:nvSpPr>
      <xdr:spPr>
        <a:xfrm>
          <a:off x="802821" y="3238500"/>
          <a:ext cx="748393" cy="190500"/>
        </a:xfrm>
        <a:prstGeom prst="ellipse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GB" sz="1100"/>
        </a:p>
      </xdr:txBody>
    </xdr:sp>
    <xdr:clientData/>
  </xdr:twoCellAnchor>
  <xdr:twoCellAnchor>
    <xdr:from>
      <xdr:col>5</xdr:col>
      <xdr:colOff>27214</xdr:colOff>
      <xdr:row>31</xdr:row>
      <xdr:rowOff>13608</xdr:rowOff>
    </xdr:from>
    <xdr:to>
      <xdr:col>9</xdr:col>
      <xdr:colOff>544286</xdr:colOff>
      <xdr:row>33</xdr:row>
      <xdr:rowOff>13608</xdr:rowOff>
    </xdr:to>
    <xdr:sp macro="" textlink="">
      <xdr:nvSpPr>
        <xdr:cNvPr id="15" name="Oval 14"/>
        <xdr:cNvSpPr/>
      </xdr:nvSpPr>
      <xdr:spPr>
        <a:xfrm>
          <a:off x="3088821" y="5919108"/>
          <a:ext cx="2966358" cy="3810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GB" sz="1100"/>
        </a:p>
      </xdr:txBody>
    </xdr:sp>
    <xdr:clientData/>
  </xdr:twoCellAnchor>
  <xdr:twoCellAnchor>
    <xdr:from>
      <xdr:col>27</xdr:col>
      <xdr:colOff>136070</xdr:colOff>
      <xdr:row>12</xdr:row>
      <xdr:rowOff>176892</xdr:rowOff>
    </xdr:from>
    <xdr:to>
      <xdr:col>28</xdr:col>
      <xdr:colOff>299357</xdr:colOff>
      <xdr:row>14</xdr:row>
      <xdr:rowOff>13607</xdr:rowOff>
    </xdr:to>
    <xdr:sp macro="" textlink="">
      <xdr:nvSpPr>
        <xdr:cNvPr id="17" name="Oval 16"/>
        <xdr:cNvSpPr/>
      </xdr:nvSpPr>
      <xdr:spPr>
        <a:xfrm>
          <a:off x="16777606" y="2462892"/>
          <a:ext cx="775608" cy="21771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GB" sz="1100"/>
        </a:p>
      </xdr:txBody>
    </xdr:sp>
    <xdr:clientData/>
  </xdr:twoCellAnchor>
  <xdr:twoCellAnchor>
    <xdr:from>
      <xdr:col>27</xdr:col>
      <xdr:colOff>97970</xdr:colOff>
      <xdr:row>15</xdr:row>
      <xdr:rowOff>29935</xdr:rowOff>
    </xdr:from>
    <xdr:to>
      <xdr:col>28</xdr:col>
      <xdr:colOff>261257</xdr:colOff>
      <xdr:row>16</xdr:row>
      <xdr:rowOff>57150</xdr:rowOff>
    </xdr:to>
    <xdr:sp macro="" textlink="">
      <xdr:nvSpPr>
        <xdr:cNvPr id="19" name="Oval 18"/>
        <xdr:cNvSpPr/>
      </xdr:nvSpPr>
      <xdr:spPr>
        <a:xfrm>
          <a:off x="16739506" y="2887435"/>
          <a:ext cx="775608" cy="217715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GB" sz="1100"/>
        </a:p>
      </xdr:txBody>
    </xdr:sp>
    <xdr:clientData/>
  </xdr:twoCellAnchor>
  <xdr:twoCellAnchor>
    <xdr:from>
      <xdr:col>28</xdr:col>
      <xdr:colOff>299357</xdr:colOff>
      <xdr:row>13</xdr:row>
      <xdr:rowOff>95250</xdr:rowOff>
    </xdr:from>
    <xdr:to>
      <xdr:col>30</xdr:col>
      <xdr:colOff>544286</xdr:colOff>
      <xdr:row>14</xdr:row>
      <xdr:rowOff>68036</xdr:rowOff>
    </xdr:to>
    <xdr:cxnSp macro="">
      <xdr:nvCxnSpPr>
        <xdr:cNvPr id="22" name="Straight Arrow Connector 21"/>
        <xdr:cNvCxnSpPr>
          <a:stCxn id="17" idx="6"/>
        </xdr:cNvCxnSpPr>
      </xdr:nvCxnSpPr>
      <xdr:spPr>
        <a:xfrm>
          <a:off x="17553214" y="2571750"/>
          <a:ext cx="1469572" cy="163286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261257</xdr:colOff>
      <xdr:row>15</xdr:row>
      <xdr:rowOff>27214</xdr:rowOff>
    </xdr:from>
    <xdr:to>
      <xdr:col>30</xdr:col>
      <xdr:colOff>517071</xdr:colOff>
      <xdr:row>15</xdr:row>
      <xdr:rowOff>138793</xdr:rowOff>
    </xdr:to>
    <xdr:cxnSp macro="">
      <xdr:nvCxnSpPr>
        <xdr:cNvPr id="24" name="Straight Arrow Connector 23"/>
        <xdr:cNvCxnSpPr>
          <a:stCxn id="19" idx="6"/>
        </xdr:cNvCxnSpPr>
      </xdr:nvCxnSpPr>
      <xdr:spPr>
        <a:xfrm flipV="1">
          <a:off x="17515114" y="2884714"/>
          <a:ext cx="1480457" cy="111579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84362</xdr:colOff>
      <xdr:row>10</xdr:row>
      <xdr:rowOff>152399</xdr:rowOff>
    </xdr:from>
    <xdr:to>
      <xdr:col>28</xdr:col>
      <xdr:colOff>247649</xdr:colOff>
      <xdr:row>11</xdr:row>
      <xdr:rowOff>179614</xdr:rowOff>
    </xdr:to>
    <xdr:sp macro="" textlink="">
      <xdr:nvSpPr>
        <xdr:cNvPr id="27" name="Oval 26"/>
        <xdr:cNvSpPr/>
      </xdr:nvSpPr>
      <xdr:spPr>
        <a:xfrm>
          <a:off x="16725898" y="2057399"/>
          <a:ext cx="775608" cy="217715"/>
        </a:xfrm>
        <a:prstGeom prst="ellipse">
          <a:avLst/>
        </a:prstGeom>
        <a:noFill/>
        <a:ln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GB" sz="1100"/>
        </a:p>
      </xdr:txBody>
    </xdr:sp>
    <xdr:clientData/>
  </xdr:twoCellAnchor>
  <xdr:twoCellAnchor>
    <xdr:from>
      <xdr:col>27</xdr:col>
      <xdr:colOff>209548</xdr:colOff>
      <xdr:row>12</xdr:row>
      <xdr:rowOff>168728</xdr:rowOff>
    </xdr:from>
    <xdr:to>
      <xdr:col>28</xdr:col>
      <xdr:colOff>372835</xdr:colOff>
      <xdr:row>14</xdr:row>
      <xdr:rowOff>5443</xdr:rowOff>
    </xdr:to>
    <xdr:sp macro="" textlink="">
      <xdr:nvSpPr>
        <xdr:cNvPr id="28" name="Oval 27"/>
        <xdr:cNvSpPr/>
      </xdr:nvSpPr>
      <xdr:spPr>
        <a:xfrm>
          <a:off x="16851084" y="2454728"/>
          <a:ext cx="775608" cy="217715"/>
        </a:xfrm>
        <a:prstGeom prst="ellipse">
          <a:avLst/>
        </a:prstGeom>
        <a:noFill/>
        <a:ln>
          <a:solidFill>
            <a:srgbClr val="7030A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GB" sz="1100"/>
        </a:p>
      </xdr:txBody>
    </xdr:sp>
    <xdr:clientData/>
  </xdr:twoCellAnchor>
  <xdr:twoCellAnchor>
    <xdr:from>
      <xdr:col>28</xdr:col>
      <xdr:colOff>247649</xdr:colOff>
      <xdr:row>11</xdr:row>
      <xdr:rowOff>70757</xdr:rowOff>
    </xdr:from>
    <xdr:to>
      <xdr:col>31</xdr:col>
      <xdr:colOff>16330</xdr:colOff>
      <xdr:row>11</xdr:row>
      <xdr:rowOff>166007</xdr:rowOff>
    </xdr:to>
    <xdr:cxnSp macro="">
      <xdr:nvCxnSpPr>
        <xdr:cNvPr id="29" name="Straight Arrow Connector 28"/>
        <xdr:cNvCxnSpPr>
          <a:stCxn id="27" idx="6"/>
        </xdr:cNvCxnSpPr>
      </xdr:nvCxnSpPr>
      <xdr:spPr>
        <a:xfrm>
          <a:off x="17501506" y="2166257"/>
          <a:ext cx="1605645" cy="95250"/>
        </a:xfrm>
        <a:prstGeom prst="straightConnector1">
          <a:avLst/>
        </a:prstGeom>
        <a:ln>
          <a:solidFill>
            <a:srgbClr val="7030A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345622</xdr:colOff>
      <xdr:row>12</xdr:row>
      <xdr:rowOff>125185</xdr:rowOff>
    </xdr:from>
    <xdr:to>
      <xdr:col>30</xdr:col>
      <xdr:colOff>601436</xdr:colOff>
      <xdr:row>13</xdr:row>
      <xdr:rowOff>46264</xdr:rowOff>
    </xdr:to>
    <xdr:cxnSp macro="">
      <xdr:nvCxnSpPr>
        <xdr:cNvPr id="30" name="Straight Arrow Connector 29"/>
        <xdr:cNvCxnSpPr/>
      </xdr:nvCxnSpPr>
      <xdr:spPr>
        <a:xfrm flipV="1">
          <a:off x="17599479" y="2411185"/>
          <a:ext cx="1480457" cy="111579"/>
        </a:xfrm>
        <a:prstGeom prst="straightConnector1">
          <a:avLst/>
        </a:prstGeom>
        <a:ln>
          <a:solidFill>
            <a:srgbClr val="7030A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0</xdr:colOff>
      <xdr:row>7</xdr:row>
      <xdr:rowOff>95250</xdr:rowOff>
    </xdr:from>
    <xdr:to>
      <xdr:col>11</xdr:col>
      <xdr:colOff>447675</xdr:colOff>
      <xdr:row>19</xdr:row>
      <xdr:rowOff>171450</xdr:rowOff>
    </xdr:to>
    <xdr:grpSp>
      <xdr:nvGrpSpPr>
        <xdr:cNvPr id="9" name="Group 8"/>
        <xdr:cNvGrpSpPr/>
      </xdr:nvGrpSpPr>
      <xdr:grpSpPr>
        <a:xfrm>
          <a:off x="4267200" y="1428750"/>
          <a:ext cx="2886075" cy="2362200"/>
          <a:chOff x="4267200" y="1428750"/>
          <a:chExt cx="2886075" cy="2362200"/>
        </a:xfrm>
      </xdr:grpSpPr>
      <xdr:pic>
        <xdr:nvPicPr>
          <xdr:cNvPr id="7169" name="Picture 1"/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/>
          <a:srcRect l="27441" t="41797" r="45313" b="25911"/>
          <a:stretch>
            <a:fillRect/>
          </a:stretch>
        </xdr:blipFill>
        <xdr:spPr bwMode="auto">
          <a:xfrm>
            <a:off x="4495800" y="1428750"/>
            <a:ext cx="2657475" cy="2362200"/>
          </a:xfrm>
          <a:prstGeom prst="rect">
            <a:avLst/>
          </a:prstGeom>
          <a:noFill/>
          <a:ln w="1">
            <a:noFill/>
            <a:miter lim="800000"/>
            <a:headEnd/>
            <a:tailEnd type="none" w="med" len="med"/>
          </a:ln>
          <a:effectLst/>
        </xdr:spPr>
      </xdr:pic>
      <xdr:sp macro="" textlink="">
        <xdr:nvSpPr>
          <xdr:cNvPr id="4" name="Freeform 3"/>
          <xdr:cNvSpPr/>
        </xdr:nvSpPr>
        <xdr:spPr>
          <a:xfrm>
            <a:off x="4486275" y="2314575"/>
            <a:ext cx="476250" cy="295275"/>
          </a:xfrm>
          <a:custGeom>
            <a:avLst/>
            <a:gdLst>
              <a:gd name="connsiteX0" fmla="*/ 476250 w 476250"/>
              <a:gd name="connsiteY0" fmla="*/ 133350 h 295275"/>
              <a:gd name="connsiteX1" fmla="*/ 476250 w 476250"/>
              <a:gd name="connsiteY1" fmla="*/ 133350 h 295275"/>
              <a:gd name="connsiteX2" fmla="*/ 76200 w 476250"/>
              <a:gd name="connsiteY2" fmla="*/ 295275 h 295275"/>
              <a:gd name="connsiteX3" fmla="*/ 0 w 476250"/>
              <a:gd name="connsiteY3" fmla="*/ 123825 h 295275"/>
              <a:gd name="connsiteX4" fmla="*/ 381000 w 476250"/>
              <a:gd name="connsiteY4" fmla="*/ 0 h 295275"/>
            </a:gdLst>
            <a:ahLst/>
            <a:cxnLst>
              <a:cxn ang="0">
                <a:pos x="connsiteX0" y="connsiteY0"/>
              </a:cxn>
              <a:cxn ang="0">
                <a:pos x="connsiteX1" y="connsiteY1"/>
              </a:cxn>
              <a:cxn ang="0">
                <a:pos x="connsiteX2" y="connsiteY2"/>
              </a:cxn>
              <a:cxn ang="0">
                <a:pos x="connsiteX3" y="connsiteY3"/>
              </a:cxn>
              <a:cxn ang="0">
                <a:pos x="connsiteX4" y="connsiteY4"/>
              </a:cxn>
            </a:cxnLst>
            <a:rect l="l" t="t" r="r" b="b"/>
            <a:pathLst>
              <a:path w="476250" h="295275">
                <a:moveTo>
                  <a:pt x="476250" y="133350"/>
                </a:moveTo>
                <a:lnTo>
                  <a:pt x="476250" y="133350"/>
                </a:lnTo>
                <a:lnTo>
                  <a:pt x="76200" y="295275"/>
                </a:lnTo>
                <a:lnTo>
                  <a:pt x="0" y="123825"/>
                </a:lnTo>
                <a:lnTo>
                  <a:pt x="381000" y="0"/>
                </a:lnTo>
              </a:path>
            </a:pathLst>
          </a:custGeom>
          <a:ln w="19050">
            <a:solidFill>
              <a:schemeClr val="tx1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  <xdr:txBody>
          <a:bodyPr vertOverflow="clip" rtlCol="0" anchor="ctr"/>
          <a:lstStyle/>
          <a:p>
            <a:pPr algn="ctr"/>
            <a:endParaRPr lang="en-GB" sz="1100">
              <a:ln>
                <a:solidFill>
                  <a:sysClr val="windowText" lastClr="000000"/>
                </a:solidFill>
              </a:ln>
              <a:solidFill>
                <a:sysClr val="windowText" lastClr="000000"/>
              </a:solidFill>
            </a:endParaRPr>
          </a:p>
        </xdr:txBody>
      </xdr:sp>
      <xdr:cxnSp macro="">
        <xdr:nvCxnSpPr>
          <xdr:cNvPr id="6" name="Straight Arrow Connector 5"/>
          <xdr:cNvCxnSpPr/>
        </xdr:nvCxnSpPr>
        <xdr:spPr>
          <a:xfrm flipH="1">
            <a:off x="4962525" y="3248025"/>
            <a:ext cx="495300" cy="190500"/>
          </a:xfrm>
          <a:prstGeom prst="straightConnector1">
            <a:avLst/>
          </a:prstGeom>
          <a:ln w="19050">
            <a:solidFill>
              <a:schemeClr val="tx1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7" name="Straight Arrow Connector 6"/>
          <xdr:cNvCxnSpPr/>
        </xdr:nvCxnSpPr>
        <xdr:spPr>
          <a:xfrm flipH="1">
            <a:off x="4267200" y="2095500"/>
            <a:ext cx="495300" cy="190500"/>
          </a:xfrm>
          <a:prstGeom prst="straightConnector1">
            <a:avLst/>
          </a:prstGeom>
          <a:ln w="19050">
            <a:solidFill>
              <a:schemeClr val="tx1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8" name="Straight Arrow Connector 7"/>
          <xdr:cNvCxnSpPr/>
        </xdr:nvCxnSpPr>
        <xdr:spPr>
          <a:xfrm flipH="1">
            <a:off x="5114925" y="3400425"/>
            <a:ext cx="495300" cy="190500"/>
          </a:xfrm>
          <a:prstGeom prst="straightConnector1">
            <a:avLst/>
          </a:prstGeom>
          <a:ln w="19050">
            <a:solidFill>
              <a:schemeClr val="tx1"/>
            </a:solidFill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476344</xdr:colOff>
      <xdr:row>9</xdr:row>
      <xdr:rowOff>123824</xdr:rowOff>
    </xdr:from>
    <xdr:to>
      <xdr:col>8</xdr:col>
      <xdr:colOff>361950</xdr:colOff>
      <xdr:row>18</xdr:row>
      <xdr:rowOff>152399</xdr:rowOff>
    </xdr:to>
    <xdr:pic>
      <xdr:nvPicPr>
        <xdr:cNvPr id="819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25781" t="51693" r="45020" b="8724"/>
        <a:stretch>
          <a:fillRect/>
        </a:stretch>
      </xdr:blipFill>
      <xdr:spPr bwMode="auto">
        <a:xfrm>
          <a:off x="3524344" y="1838324"/>
          <a:ext cx="1714406" cy="1743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95251</xdr:colOff>
      <xdr:row>13</xdr:row>
      <xdr:rowOff>76200</xdr:rowOff>
    </xdr:from>
    <xdr:to>
      <xdr:col>11</xdr:col>
      <xdr:colOff>20663</xdr:colOff>
      <xdr:row>22</xdr:row>
      <xdr:rowOff>161925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25586" t="24479" r="44629" b="34766"/>
        <a:stretch>
          <a:fillRect/>
        </a:stretch>
      </xdr:blipFill>
      <xdr:spPr bwMode="auto">
        <a:xfrm>
          <a:off x="4972051" y="2552700"/>
          <a:ext cx="1754212" cy="1800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371475</xdr:colOff>
      <xdr:row>13</xdr:row>
      <xdr:rowOff>47626</xdr:rowOff>
    </xdr:from>
    <xdr:to>
      <xdr:col>7</xdr:col>
      <xdr:colOff>466725</xdr:colOff>
      <xdr:row>22</xdr:row>
      <xdr:rowOff>175966</xdr:rowOff>
    </xdr:to>
    <xdr:pic>
      <xdr:nvPicPr>
        <xdr:cNvPr id="921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25391" t="25260" r="44531" b="36328"/>
        <a:stretch>
          <a:fillRect/>
        </a:stretch>
      </xdr:blipFill>
      <xdr:spPr bwMode="auto">
        <a:xfrm>
          <a:off x="2809875" y="2524126"/>
          <a:ext cx="1924050" cy="18428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352425</xdr:colOff>
      <xdr:row>5</xdr:row>
      <xdr:rowOff>0</xdr:rowOff>
    </xdr:from>
    <xdr:to>
      <xdr:col>7</xdr:col>
      <xdr:colOff>295275</xdr:colOff>
      <xdr:row>17</xdr:row>
      <xdr:rowOff>95250</xdr:rowOff>
    </xdr:to>
    <xdr:pic>
      <xdr:nvPicPr>
        <xdr:cNvPr id="2049" name="Picture 1" descr="SparkFun Breakout Board for FT232RL USB to Serial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181225" y="952500"/>
          <a:ext cx="2381250" cy="238125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561975</xdr:colOff>
      <xdr:row>0</xdr:row>
      <xdr:rowOff>0</xdr:rowOff>
    </xdr:from>
    <xdr:to>
      <xdr:col>17</xdr:col>
      <xdr:colOff>561975</xdr:colOff>
      <xdr:row>19</xdr:row>
      <xdr:rowOff>38100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1096" t="23444" r="70333" b="17889"/>
        <a:stretch>
          <a:fillRect/>
        </a:stretch>
      </xdr:blipFill>
      <xdr:spPr bwMode="auto">
        <a:xfrm>
          <a:off x="6048375" y="0"/>
          <a:ext cx="4876800" cy="3657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9525</xdr:colOff>
      <xdr:row>10</xdr:row>
      <xdr:rowOff>133350</xdr:rowOff>
    </xdr:from>
    <xdr:to>
      <xdr:col>15</xdr:col>
      <xdr:colOff>238125</xdr:colOff>
      <xdr:row>21</xdr:row>
      <xdr:rowOff>180975</xdr:rowOff>
    </xdr:to>
    <xdr:pic>
      <xdr:nvPicPr>
        <xdr:cNvPr id="3073" name="Picture 1" descr="OpenLog Pro Mini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667125" y="1657350"/>
          <a:ext cx="5715000" cy="2143125"/>
        </a:xfrm>
        <a:prstGeom prst="rect">
          <a:avLst/>
        </a:prstGeom>
        <a:noFill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114300</xdr:rowOff>
    </xdr:from>
    <xdr:to>
      <xdr:col>3</xdr:col>
      <xdr:colOff>457200</xdr:colOff>
      <xdr:row>16</xdr:row>
      <xdr:rowOff>0</xdr:rowOff>
    </xdr:to>
    <xdr:pic>
      <xdr:nvPicPr>
        <xdr:cNvPr id="5121" name="Picture 1" descr="Examples of voltage divider schematics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r="81333"/>
        <a:stretch>
          <a:fillRect/>
        </a:stretch>
      </xdr:blipFill>
      <xdr:spPr bwMode="auto">
        <a:xfrm>
          <a:off x="1219200" y="876300"/>
          <a:ext cx="1066800" cy="21717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10</xdr:col>
      <xdr:colOff>47625</xdr:colOff>
      <xdr:row>11</xdr:row>
      <xdr:rowOff>47625</xdr:rowOff>
    </xdr:to>
    <xdr:pic>
      <xdr:nvPicPr>
        <xdr:cNvPr id="5122" name="Picture 2" descr="https://cdn.sparkfun.com/assets/e/7/6/3/c/511968d9ce395f7c54000000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048000" y="1333500"/>
          <a:ext cx="3095625" cy="809625"/>
        </a:xfrm>
        <a:prstGeom prst="rect">
          <a:avLst/>
        </a:prstGeom>
        <a:noFill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23</xdr:col>
      <xdr:colOff>19050</xdr:colOff>
      <xdr:row>51</xdr:row>
      <xdr:rowOff>28575</xdr:rowOff>
    </xdr:from>
    <xdr:to>
      <xdr:col>37</xdr:col>
      <xdr:colOff>95250</xdr:colOff>
      <xdr:row>55</xdr:row>
      <xdr:rowOff>95250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099" t="65778" r="80235" b="24555"/>
        <a:stretch>
          <a:fillRect/>
        </a:stretch>
      </xdr:blipFill>
      <xdr:spPr bwMode="auto">
        <a:xfrm>
          <a:off x="7753350" y="9744075"/>
          <a:ext cx="3676650" cy="828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36678</xdr:colOff>
      <xdr:row>31</xdr:row>
      <xdr:rowOff>28575</xdr:rowOff>
    </xdr:from>
    <xdr:to>
      <xdr:col>40</xdr:col>
      <xdr:colOff>76200</xdr:colOff>
      <xdr:row>48</xdr:row>
      <xdr:rowOff>142875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6534" t="31286" r="65894" b="17333"/>
        <a:stretch>
          <a:fillRect/>
        </a:stretch>
      </xdr:blipFill>
      <xdr:spPr bwMode="auto">
        <a:xfrm>
          <a:off x="7256628" y="5934075"/>
          <a:ext cx="4925847" cy="3352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23</xdr:col>
      <xdr:colOff>247650</xdr:colOff>
      <xdr:row>1</xdr:row>
      <xdr:rowOff>123825</xdr:rowOff>
    </xdr:from>
    <xdr:to>
      <xdr:col>45</xdr:col>
      <xdr:colOff>9525</xdr:colOff>
      <xdr:row>33</xdr:row>
      <xdr:rowOff>9525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9700" t="5444" r="67207" b="24778"/>
        <a:stretch>
          <a:fillRect/>
        </a:stretch>
      </xdr:blipFill>
      <xdr:spPr bwMode="auto">
        <a:xfrm>
          <a:off x="7981950" y="314325"/>
          <a:ext cx="5419725" cy="5981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32</xdr:col>
      <xdr:colOff>66675</xdr:colOff>
      <xdr:row>51</xdr:row>
      <xdr:rowOff>19050</xdr:rowOff>
    </xdr:from>
    <xdr:ext cx="256160" cy="264560"/>
    <xdr:sp macro="" textlink="">
      <xdr:nvSpPr>
        <xdr:cNvPr id="5" name="TextBox 4"/>
        <xdr:cNvSpPr txBox="1"/>
      </xdr:nvSpPr>
      <xdr:spPr>
        <a:xfrm>
          <a:off x="10115550" y="9734550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0</a:t>
          </a:r>
        </a:p>
      </xdr:txBody>
    </xdr:sp>
    <xdr:clientData/>
  </xdr:oneCellAnchor>
  <xdr:oneCellAnchor>
    <xdr:from>
      <xdr:col>22</xdr:col>
      <xdr:colOff>152400</xdr:colOff>
      <xdr:row>52</xdr:row>
      <xdr:rowOff>9525</xdr:rowOff>
    </xdr:from>
    <xdr:ext cx="256160" cy="264560"/>
    <xdr:sp macro="" textlink="">
      <xdr:nvSpPr>
        <xdr:cNvPr id="6" name="TextBox 5"/>
        <xdr:cNvSpPr txBox="1"/>
      </xdr:nvSpPr>
      <xdr:spPr>
        <a:xfrm>
          <a:off x="7629525" y="9915525"/>
          <a:ext cx="25616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3</a:t>
          </a:r>
        </a:p>
      </xdr:txBody>
    </xdr:sp>
    <xdr:clientData/>
  </xdr:oneCellAnchor>
  <xdr:oneCellAnchor>
    <xdr:from>
      <xdr:col>22</xdr:col>
      <xdr:colOff>95250</xdr:colOff>
      <xdr:row>52</xdr:row>
      <xdr:rowOff>142875</xdr:rowOff>
    </xdr:from>
    <xdr:ext cx="327654" cy="264560"/>
    <xdr:sp macro="" textlink="">
      <xdr:nvSpPr>
        <xdr:cNvPr id="7" name="TextBox 6"/>
        <xdr:cNvSpPr txBox="1"/>
      </xdr:nvSpPr>
      <xdr:spPr>
        <a:xfrm>
          <a:off x="7572375" y="10048875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12</a:t>
          </a:r>
        </a:p>
      </xdr:txBody>
    </xdr:sp>
    <xdr:clientData/>
  </xdr:oneCellAnchor>
  <xdr:oneCellAnchor>
    <xdr:from>
      <xdr:col>22</xdr:col>
      <xdr:colOff>95250</xdr:colOff>
      <xdr:row>53</xdr:row>
      <xdr:rowOff>104775</xdr:rowOff>
    </xdr:from>
    <xdr:ext cx="327654" cy="264560"/>
    <xdr:sp macro="" textlink="">
      <xdr:nvSpPr>
        <xdr:cNvPr id="8" name="TextBox 7"/>
        <xdr:cNvSpPr txBox="1"/>
      </xdr:nvSpPr>
      <xdr:spPr>
        <a:xfrm>
          <a:off x="7572375" y="10201275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21</a:t>
          </a:r>
        </a:p>
      </xdr:txBody>
    </xdr:sp>
    <xdr:clientData/>
  </xdr:oneCellAnchor>
  <xdr:oneCellAnchor>
    <xdr:from>
      <xdr:col>22</xdr:col>
      <xdr:colOff>95250</xdr:colOff>
      <xdr:row>54</xdr:row>
      <xdr:rowOff>57150</xdr:rowOff>
    </xdr:from>
    <xdr:ext cx="327654" cy="264560"/>
    <xdr:sp macro="" textlink="">
      <xdr:nvSpPr>
        <xdr:cNvPr id="9" name="TextBox 8"/>
        <xdr:cNvSpPr txBox="1"/>
      </xdr:nvSpPr>
      <xdr:spPr>
        <a:xfrm>
          <a:off x="7572375" y="10344150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30</a:t>
          </a:r>
        </a:p>
      </xdr:txBody>
    </xdr:sp>
    <xdr:clientData/>
  </xdr:oneCellAnchor>
  <xdr:oneCellAnchor>
    <xdr:from>
      <xdr:col>31</xdr:col>
      <xdr:colOff>66675</xdr:colOff>
      <xdr:row>54</xdr:row>
      <xdr:rowOff>161925</xdr:rowOff>
    </xdr:from>
    <xdr:ext cx="327654" cy="264560"/>
    <xdr:sp macro="" textlink="">
      <xdr:nvSpPr>
        <xdr:cNvPr id="10" name="TextBox 9"/>
        <xdr:cNvSpPr txBox="1"/>
      </xdr:nvSpPr>
      <xdr:spPr>
        <a:xfrm>
          <a:off x="9858375" y="10448925"/>
          <a:ext cx="3276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35</a:t>
          </a:r>
        </a:p>
      </xdr:txBody>
    </xdr:sp>
    <xdr:clientData/>
  </xdr:oneCellAnchor>
  <xdr:oneCellAnchor>
    <xdr:from>
      <xdr:col>32</xdr:col>
      <xdr:colOff>171450</xdr:colOff>
      <xdr:row>54</xdr:row>
      <xdr:rowOff>152400</xdr:rowOff>
    </xdr:from>
    <xdr:ext cx="754309" cy="264560"/>
    <xdr:sp macro="" textlink="">
      <xdr:nvSpPr>
        <xdr:cNvPr id="11" name="TextBox 10"/>
        <xdr:cNvSpPr txBox="1"/>
      </xdr:nvSpPr>
      <xdr:spPr>
        <a:xfrm>
          <a:off x="10220325" y="10439400"/>
          <a:ext cx="75430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checksum</a:t>
          </a:r>
        </a:p>
      </xdr:txBody>
    </xdr:sp>
    <xdr:clientData/>
  </xdr:oneCellAnchor>
  <xdr:oneCellAnchor>
    <xdr:from>
      <xdr:col>22</xdr:col>
      <xdr:colOff>173722</xdr:colOff>
      <xdr:row>50</xdr:row>
      <xdr:rowOff>57150</xdr:rowOff>
    </xdr:from>
    <xdr:ext cx="521168" cy="264560"/>
    <xdr:sp macro="" textlink="">
      <xdr:nvSpPr>
        <xdr:cNvPr id="12" name="TextBox 11"/>
        <xdr:cNvSpPr txBox="1"/>
      </xdr:nvSpPr>
      <xdr:spPr>
        <a:xfrm rot="18900000">
          <a:off x="7650847" y="9582150"/>
          <a:ext cx="52116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addr1</a:t>
          </a:r>
        </a:p>
      </xdr:txBody>
    </xdr:sp>
    <xdr:clientData/>
  </xdr:oneCellAnchor>
  <xdr:oneCellAnchor>
    <xdr:from>
      <xdr:col>24</xdr:col>
      <xdr:colOff>126097</xdr:colOff>
      <xdr:row>50</xdr:row>
      <xdr:rowOff>76200</xdr:rowOff>
    </xdr:from>
    <xdr:ext cx="521168" cy="264560"/>
    <xdr:sp macro="" textlink="">
      <xdr:nvSpPr>
        <xdr:cNvPr id="13" name="TextBox 12"/>
        <xdr:cNvSpPr txBox="1"/>
      </xdr:nvSpPr>
      <xdr:spPr>
        <a:xfrm rot="18900000">
          <a:off x="8117572" y="9601200"/>
          <a:ext cx="52116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addr2</a:t>
          </a:r>
        </a:p>
      </xdr:txBody>
    </xdr:sp>
    <xdr:clientData/>
  </xdr:oneCellAnchor>
  <xdr:oneCellAnchor>
    <xdr:from>
      <xdr:col>26</xdr:col>
      <xdr:colOff>111783</xdr:colOff>
      <xdr:row>50</xdr:row>
      <xdr:rowOff>47625</xdr:rowOff>
    </xdr:from>
    <xdr:ext cx="454548" cy="264560"/>
    <xdr:sp macro="" textlink="">
      <xdr:nvSpPr>
        <xdr:cNvPr id="14" name="TextBox 13"/>
        <xdr:cNvSpPr txBox="1"/>
      </xdr:nvSpPr>
      <xdr:spPr>
        <a:xfrm rot="18900000">
          <a:off x="8617608" y="9572625"/>
          <a:ext cx="454548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class</a:t>
          </a:r>
        </a:p>
      </xdr:txBody>
    </xdr:sp>
    <xdr:clientData/>
  </xdr:oneCellAnchor>
  <xdr:oneCellAnchor>
    <xdr:from>
      <xdr:col>28</xdr:col>
      <xdr:colOff>99828</xdr:colOff>
      <xdr:row>50</xdr:row>
      <xdr:rowOff>85725</xdr:rowOff>
    </xdr:from>
    <xdr:ext cx="307007" cy="264560"/>
    <xdr:sp macro="" textlink="">
      <xdr:nvSpPr>
        <xdr:cNvPr id="15" name="TextBox 14"/>
        <xdr:cNvSpPr txBox="1"/>
      </xdr:nvSpPr>
      <xdr:spPr>
        <a:xfrm rot="18900000">
          <a:off x="9120003" y="9610725"/>
          <a:ext cx="307007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ID</a:t>
          </a:r>
        </a:p>
      </xdr:txBody>
    </xdr:sp>
    <xdr:clientData/>
  </xdr:oneCellAnchor>
  <xdr:oneCellAnchor>
    <xdr:from>
      <xdr:col>29</xdr:col>
      <xdr:colOff>47766</xdr:colOff>
      <xdr:row>50</xdr:row>
      <xdr:rowOff>76200</xdr:rowOff>
    </xdr:from>
    <xdr:ext cx="620683" cy="264560"/>
    <xdr:sp macro="" textlink="">
      <xdr:nvSpPr>
        <xdr:cNvPr id="16" name="TextBox 15"/>
        <xdr:cNvSpPr txBox="1"/>
      </xdr:nvSpPr>
      <xdr:spPr>
        <a:xfrm rot="18900000">
          <a:off x="9325116" y="9601200"/>
          <a:ext cx="6206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length1</a:t>
          </a:r>
        </a:p>
      </xdr:txBody>
    </xdr:sp>
    <xdr:clientData/>
  </xdr:oneCellAnchor>
  <xdr:oneCellAnchor>
    <xdr:from>
      <xdr:col>30</xdr:col>
      <xdr:colOff>228742</xdr:colOff>
      <xdr:row>50</xdr:row>
      <xdr:rowOff>85724</xdr:rowOff>
    </xdr:from>
    <xdr:ext cx="620683" cy="264560"/>
    <xdr:sp macro="" textlink="">
      <xdr:nvSpPr>
        <xdr:cNvPr id="17" name="TextBox 16"/>
        <xdr:cNvSpPr txBox="1"/>
      </xdr:nvSpPr>
      <xdr:spPr>
        <a:xfrm rot="18900000">
          <a:off x="9763267" y="9610724"/>
          <a:ext cx="6206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length2</a:t>
          </a:r>
        </a:p>
      </xdr:txBody>
    </xdr:sp>
    <xdr:clientData/>
  </xdr:oneCellAnchor>
  <xdr:oneCellAnchor>
    <xdr:from>
      <xdr:col>32</xdr:col>
      <xdr:colOff>232678</xdr:colOff>
      <xdr:row>49</xdr:row>
      <xdr:rowOff>190499</xdr:rowOff>
    </xdr:from>
    <xdr:ext cx="555665" cy="264560"/>
    <xdr:sp macro="" textlink="">
      <xdr:nvSpPr>
        <xdr:cNvPr id="18" name="TextBox 17"/>
        <xdr:cNvSpPr txBox="1"/>
      </xdr:nvSpPr>
      <xdr:spPr>
        <a:xfrm rot="18900000">
          <a:off x="10281553" y="9524999"/>
          <a:ext cx="55566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mask1</a:t>
          </a:r>
        </a:p>
      </xdr:txBody>
    </xdr:sp>
    <xdr:clientData/>
  </xdr:oneCellAnchor>
  <xdr:oneCellAnchor>
    <xdr:from>
      <xdr:col>34</xdr:col>
      <xdr:colOff>80279</xdr:colOff>
      <xdr:row>50</xdr:row>
      <xdr:rowOff>19048</xdr:rowOff>
    </xdr:from>
    <xdr:ext cx="555665" cy="264560"/>
    <xdr:sp macro="" textlink="">
      <xdr:nvSpPr>
        <xdr:cNvPr id="19" name="TextBox 18"/>
        <xdr:cNvSpPr txBox="1"/>
      </xdr:nvSpPr>
      <xdr:spPr>
        <a:xfrm rot="18900000">
          <a:off x="10643504" y="9544048"/>
          <a:ext cx="555665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GB" sz="1100">
              <a:solidFill>
                <a:srgbClr val="FF0000"/>
              </a:solidFill>
            </a:rPr>
            <a:t>mask2</a:t>
          </a:r>
        </a:p>
      </xdr:txBody>
    </xdr:sp>
    <xdr:clientData/>
  </xdr:oneCellAnchor>
  <xdr:twoCellAnchor>
    <xdr:from>
      <xdr:col>19</xdr:col>
      <xdr:colOff>514350</xdr:colOff>
      <xdr:row>12</xdr:row>
      <xdr:rowOff>9525</xdr:rowOff>
    </xdr:from>
    <xdr:to>
      <xdr:col>34</xdr:col>
      <xdr:colOff>95250</xdr:colOff>
      <xdr:row>13</xdr:row>
      <xdr:rowOff>142875</xdr:rowOff>
    </xdr:to>
    <xdr:cxnSp macro="">
      <xdr:nvCxnSpPr>
        <xdr:cNvPr id="21" name="Straight Arrow Connector 20"/>
        <xdr:cNvCxnSpPr/>
      </xdr:nvCxnSpPr>
      <xdr:spPr>
        <a:xfrm flipV="1">
          <a:off x="6924675" y="2295525"/>
          <a:ext cx="4495800" cy="32385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857250</xdr:colOff>
      <xdr:row>15</xdr:row>
      <xdr:rowOff>142875</xdr:rowOff>
    </xdr:from>
    <xdr:to>
      <xdr:col>34</xdr:col>
      <xdr:colOff>171450</xdr:colOff>
      <xdr:row>16</xdr:row>
      <xdr:rowOff>76200</xdr:rowOff>
    </xdr:to>
    <xdr:cxnSp macro="">
      <xdr:nvCxnSpPr>
        <xdr:cNvPr id="23" name="Straight Arrow Connector 22"/>
        <xdr:cNvCxnSpPr/>
      </xdr:nvCxnSpPr>
      <xdr:spPr>
        <a:xfrm>
          <a:off x="7267575" y="3000375"/>
          <a:ext cx="4229100" cy="12382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561974</xdr:colOff>
      <xdr:row>16</xdr:row>
      <xdr:rowOff>76200</xdr:rowOff>
    </xdr:from>
    <xdr:to>
      <xdr:col>28</xdr:col>
      <xdr:colOff>133349</xdr:colOff>
      <xdr:row>36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21</xdr:col>
      <xdr:colOff>152400</xdr:colOff>
      <xdr:row>38</xdr:row>
      <xdr:rowOff>95250</xdr:rowOff>
    </xdr:from>
    <xdr:to>
      <xdr:col>28</xdr:col>
      <xdr:colOff>457200</xdr:colOff>
      <xdr:row>52</xdr:row>
      <xdr:rowOff>133350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6</xdr:col>
      <xdr:colOff>581025</xdr:colOff>
      <xdr:row>6</xdr:row>
      <xdr:rowOff>66675</xdr:rowOff>
    </xdr:from>
    <xdr:to>
      <xdr:col>11</xdr:col>
      <xdr:colOff>171450</xdr:colOff>
      <xdr:row>9</xdr:row>
      <xdr:rowOff>38100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9497" t="27556" r="81656" b="67000"/>
        <a:stretch>
          <a:fillRect/>
        </a:stretch>
      </xdr:blipFill>
      <xdr:spPr bwMode="auto">
        <a:xfrm>
          <a:off x="3867150" y="981075"/>
          <a:ext cx="2076450" cy="466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22</xdr:col>
      <xdr:colOff>342900</xdr:colOff>
      <xdr:row>21</xdr:row>
      <xdr:rowOff>104775</xdr:rowOff>
    </xdr:from>
    <xdr:to>
      <xdr:col>30</xdr:col>
      <xdr:colOff>38100</xdr:colOff>
      <xdr:row>47</xdr:row>
      <xdr:rowOff>28575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347382</xdr:colOff>
      <xdr:row>4</xdr:row>
      <xdr:rowOff>134471</xdr:rowOff>
    </xdr:from>
    <xdr:to>
      <xdr:col>15</xdr:col>
      <xdr:colOff>100853</xdr:colOff>
      <xdr:row>22</xdr:row>
      <xdr:rowOff>150563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2441" t="17057" r="3882" b="11864"/>
        <a:stretch>
          <a:fillRect/>
        </a:stretch>
      </xdr:blipFill>
      <xdr:spPr bwMode="auto">
        <a:xfrm>
          <a:off x="5692588" y="324971"/>
          <a:ext cx="6286500" cy="36029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78442</xdr:colOff>
      <xdr:row>27</xdr:row>
      <xdr:rowOff>137973</xdr:rowOff>
    </xdr:from>
    <xdr:to>
      <xdr:col>12</xdr:col>
      <xdr:colOff>470648</xdr:colOff>
      <xdr:row>38</xdr:row>
      <xdr:rowOff>5602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20602" t="37224" r="4977" b="12378"/>
        <a:stretch>
          <a:fillRect/>
        </a:stretch>
      </xdr:blipFill>
      <xdr:spPr bwMode="auto">
        <a:xfrm>
          <a:off x="6073589" y="4328973"/>
          <a:ext cx="4022912" cy="205837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57150</xdr:colOff>
      <xdr:row>1</xdr:row>
      <xdr:rowOff>19050</xdr:rowOff>
    </xdr:from>
    <xdr:to>
      <xdr:col>14</xdr:col>
      <xdr:colOff>276225</xdr:colOff>
      <xdr:row>16</xdr:row>
      <xdr:rowOff>19050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30957" t="32552" r="35547" b="28385"/>
        <a:stretch>
          <a:fillRect/>
        </a:stretch>
      </xdr:blipFill>
      <xdr:spPr bwMode="auto">
        <a:xfrm>
          <a:off x="4933950" y="209550"/>
          <a:ext cx="3267075" cy="2857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314325</xdr:colOff>
      <xdr:row>11</xdr:row>
      <xdr:rowOff>171450</xdr:rowOff>
    </xdr:from>
    <xdr:to>
      <xdr:col>7</xdr:col>
      <xdr:colOff>117022</xdr:colOff>
      <xdr:row>18</xdr:row>
      <xdr:rowOff>149679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50852" t="59333" r="39619" b="25365"/>
        <a:stretch>
          <a:fillRect/>
        </a:stretch>
      </xdr:blipFill>
      <xdr:spPr bwMode="auto">
        <a:xfrm>
          <a:off x="2228850" y="1695450"/>
          <a:ext cx="2241097" cy="13117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266700</xdr:colOff>
      <xdr:row>33</xdr:row>
      <xdr:rowOff>57150</xdr:rowOff>
    </xdr:from>
    <xdr:to>
      <xdr:col>11</xdr:col>
      <xdr:colOff>381000</xdr:colOff>
      <xdr:row>56</xdr:row>
      <xdr:rowOff>142875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6534" t="30556" r="66640" b="17333"/>
        <a:stretch>
          <a:fillRect/>
        </a:stretch>
      </xdr:blipFill>
      <xdr:spPr bwMode="auto">
        <a:xfrm>
          <a:off x="876300" y="5962650"/>
          <a:ext cx="6296025" cy="446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342900</xdr:colOff>
      <xdr:row>22</xdr:row>
      <xdr:rowOff>9525</xdr:rowOff>
    </xdr:from>
    <xdr:to>
      <xdr:col>19</xdr:col>
      <xdr:colOff>600075</xdr:colOff>
      <xdr:row>30</xdr:row>
      <xdr:rowOff>76200</xdr:rowOff>
    </xdr:to>
    <xdr:pic>
      <xdr:nvPicPr>
        <xdr:cNvPr id="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l="2598" t="47889" r="72930" b="33555"/>
        <a:stretch>
          <a:fillRect/>
        </a:stretch>
      </xdr:blipFill>
      <xdr:spPr bwMode="auto">
        <a:xfrm>
          <a:off x="6524625" y="3819525"/>
          <a:ext cx="5743575" cy="1590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381000</xdr:colOff>
      <xdr:row>3</xdr:row>
      <xdr:rowOff>108857</xdr:rowOff>
    </xdr:from>
    <xdr:to>
      <xdr:col>13</xdr:col>
      <xdr:colOff>775608</xdr:colOff>
      <xdr:row>17</xdr:row>
      <xdr:rowOff>108857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30417" t="39063" r="32083" b="24479"/>
        <a:stretch>
          <a:fillRect/>
        </a:stretch>
      </xdr:blipFill>
      <xdr:spPr bwMode="auto">
        <a:xfrm>
          <a:off x="5279571" y="680357"/>
          <a:ext cx="3673929" cy="266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449035</xdr:colOff>
      <xdr:row>23</xdr:row>
      <xdr:rowOff>95250</xdr:rowOff>
    </xdr:from>
    <xdr:to>
      <xdr:col>19</xdr:col>
      <xdr:colOff>381000</xdr:colOff>
      <xdr:row>26</xdr:row>
      <xdr:rowOff>27214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5278" t="55246" r="7500" b="37872"/>
        <a:stretch>
          <a:fillRect/>
        </a:stretch>
      </xdr:blipFill>
      <xdr:spPr bwMode="auto">
        <a:xfrm>
          <a:off x="4122964" y="3524250"/>
          <a:ext cx="8545286" cy="5034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258536</xdr:colOff>
      <xdr:row>60</xdr:row>
      <xdr:rowOff>163284</xdr:rowOff>
    </xdr:from>
    <xdr:to>
      <xdr:col>40</xdr:col>
      <xdr:colOff>291192</xdr:colOff>
      <xdr:row>105</xdr:row>
      <xdr:rowOff>163284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2204357" y="11593284"/>
          <a:ext cx="23573014" cy="857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367392</xdr:colOff>
      <xdr:row>109</xdr:row>
      <xdr:rowOff>149678</xdr:rowOff>
    </xdr:from>
    <xdr:to>
      <xdr:col>39</xdr:col>
      <xdr:colOff>404131</xdr:colOff>
      <xdr:row>154</xdr:row>
      <xdr:rowOff>149678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700892" y="20914178"/>
          <a:ext cx="23577096" cy="857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381000</xdr:colOff>
      <xdr:row>3</xdr:row>
      <xdr:rowOff>108857</xdr:rowOff>
    </xdr:from>
    <xdr:to>
      <xdr:col>13</xdr:col>
      <xdr:colOff>775607</xdr:colOff>
      <xdr:row>17</xdr:row>
      <xdr:rowOff>108857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30417" t="39063" r="32083" b="24479"/>
        <a:stretch>
          <a:fillRect/>
        </a:stretch>
      </xdr:blipFill>
      <xdr:spPr bwMode="auto">
        <a:xfrm>
          <a:off x="5372100" y="680357"/>
          <a:ext cx="3661683" cy="266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449035</xdr:colOff>
      <xdr:row>23</xdr:row>
      <xdr:rowOff>95250</xdr:rowOff>
    </xdr:from>
    <xdr:to>
      <xdr:col>19</xdr:col>
      <xdr:colOff>380999</xdr:colOff>
      <xdr:row>26</xdr:row>
      <xdr:rowOff>27214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5278" t="55246" r="7500" b="37872"/>
        <a:stretch>
          <a:fillRect/>
        </a:stretch>
      </xdr:blipFill>
      <xdr:spPr bwMode="auto">
        <a:xfrm>
          <a:off x="4220935" y="4476750"/>
          <a:ext cx="8513990" cy="5034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231322</xdr:colOff>
      <xdr:row>59</xdr:row>
      <xdr:rowOff>95250</xdr:rowOff>
    </xdr:from>
    <xdr:to>
      <xdr:col>38</xdr:col>
      <xdr:colOff>151040</xdr:colOff>
      <xdr:row>104</xdr:row>
      <xdr:rowOff>95250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43643" y="11334750"/>
          <a:ext cx="23568932" cy="857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314325</xdr:colOff>
      <xdr:row>5</xdr:row>
      <xdr:rowOff>66674</xdr:rowOff>
    </xdr:from>
    <xdr:to>
      <xdr:col>13</xdr:col>
      <xdr:colOff>323850</xdr:colOff>
      <xdr:row>16</xdr:row>
      <xdr:rowOff>69933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5423" t="10110" r="5928" b="22243"/>
        <a:stretch>
          <a:fillRect/>
        </a:stretch>
      </xdr:blipFill>
      <xdr:spPr bwMode="auto">
        <a:xfrm>
          <a:off x="4581525" y="1019174"/>
          <a:ext cx="3667125" cy="209875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219075</xdr:colOff>
      <xdr:row>16</xdr:row>
      <xdr:rowOff>76200</xdr:rowOff>
    </xdr:from>
    <xdr:to>
      <xdr:col>13</xdr:col>
      <xdr:colOff>600075</xdr:colOff>
      <xdr:row>31</xdr:row>
      <xdr:rowOff>152400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23047" t="12371" r="29297" b="47526"/>
        <a:stretch>
          <a:fillRect/>
        </a:stretch>
      </xdr:blipFill>
      <xdr:spPr bwMode="auto">
        <a:xfrm>
          <a:off x="3876675" y="3124200"/>
          <a:ext cx="4648200" cy="2933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228600</xdr:colOff>
      <xdr:row>5</xdr:row>
      <xdr:rowOff>0</xdr:rowOff>
    </xdr:from>
    <xdr:to>
      <xdr:col>12</xdr:col>
      <xdr:colOff>57150</xdr:colOff>
      <xdr:row>16</xdr:row>
      <xdr:rowOff>161925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29980" t="30339" r="46778" b="38802"/>
        <a:stretch>
          <a:fillRect/>
        </a:stretch>
      </xdr:blipFill>
      <xdr:spPr bwMode="auto">
        <a:xfrm>
          <a:off x="5105400" y="952500"/>
          <a:ext cx="2266950" cy="2257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552450</xdr:colOff>
      <xdr:row>17</xdr:row>
      <xdr:rowOff>38100</xdr:rowOff>
    </xdr:from>
    <xdr:to>
      <xdr:col>19</xdr:col>
      <xdr:colOff>247650</xdr:colOff>
      <xdr:row>24</xdr:row>
      <xdr:rowOff>152400</xdr:rowOff>
    </xdr:to>
    <xdr:pic>
      <xdr:nvPicPr>
        <xdr:cNvPr id="1024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781" t="59896" r="27344" b="20312"/>
        <a:stretch>
          <a:fillRect/>
        </a:stretch>
      </xdr:blipFill>
      <xdr:spPr bwMode="auto">
        <a:xfrm>
          <a:off x="4819650" y="3276600"/>
          <a:ext cx="7010400" cy="1447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</xdr:row>
      <xdr:rowOff>66675</xdr:rowOff>
    </xdr:from>
    <xdr:to>
      <xdr:col>7</xdr:col>
      <xdr:colOff>104775</xdr:colOff>
      <xdr:row>23</xdr:row>
      <xdr:rowOff>51310</xdr:rowOff>
    </xdr:to>
    <xdr:pic>
      <xdr:nvPicPr>
        <xdr:cNvPr id="1024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2344" t="32422" r="36816" b="14844"/>
        <a:stretch>
          <a:fillRect/>
        </a:stretch>
      </xdr:blipFill>
      <xdr:spPr bwMode="auto">
        <a:xfrm>
          <a:off x="0" y="1590675"/>
          <a:ext cx="4371975" cy="28421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521494</xdr:colOff>
      <xdr:row>7</xdr:row>
      <xdr:rowOff>11906</xdr:rowOff>
    </xdr:from>
    <xdr:to>
      <xdr:col>16</xdr:col>
      <xdr:colOff>57150</xdr:colOff>
      <xdr:row>24</xdr:row>
      <xdr:rowOff>30956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49902" t="23437" r="17383" b="32031"/>
        <a:stretch>
          <a:fillRect/>
        </a:stretch>
      </xdr:blipFill>
      <xdr:spPr bwMode="auto">
        <a:xfrm>
          <a:off x="6677025" y="1345406"/>
          <a:ext cx="3178969" cy="3257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600073</xdr:colOff>
      <xdr:row>7</xdr:row>
      <xdr:rowOff>173831</xdr:rowOff>
    </xdr:from>
    <xdr:to>
      <xdr:col>9</xdr:col>
      <xdr:colOff>464443</xdr:colOff>
      <xdr:row>25</xdr:row>
      <xdr:rowOff>107156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54687" t="40104" r="5078" b="26693"/>
        <a:stretch>
          <a:fillRect/>
        </a:stretch>
      </xdr:blipFill>
      <xdr:spPr bwMode="auto">
        <a:xfrm>
          <a:off x="600073" y="1507331"/>
          <a:ext cx="5412683" cy="3362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257175</xdr:colOff>
      <xdr:row>6</xdr:row>
      <xdr:rowOff>76200</xdr:rowOff>
    </xdr:from>
    <xdr:to>
      <xdr:col>6</xdr:col>
      <xdr:colOff>438150</xdr:colOff>
      <xdr:row>20</xdr:row>
      <xdr:rowOff>138749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8887" t="22656" r="42187" b="13542"/>
        <a:stretch>
          <a:fillRect/>
        </a:stretch>
      </xdr:blipFill>
      <xdr:spPr bwMode="auto">
        <a:xfrm>
          <a:off x="1476375" y="1219200"/>
          <a:ext cx="2790825" cy="27295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1.microchip.com/downloads/en/DeviceDoc/mic5205.pdf" TargetMode="External"/><Relationship Id="rId13" Type="http://schemas.openxmlformats.org/officeDocument/2006/relationships/hyperlink" Target="http://data.energizer.com/PDFs/Ind-LR03PL_EU.pdf" TargetMode="External"/><Relationship Id="rId3" Type="http://schemas.openxmlformats.org/officeDocument/2006/relationships/hyperlink" Target="http://data.energizer.com/PDFs/l92.pdf" TargetMode="External"/><Relationship Id="rId7" Type="http://schemas.openxmlformats.org/officeDocument/2006/relationships/hyperlink" Target="https://www.u-blox.com/sites/default/files/MAX-M8-FW3_DataSheet_(UBX-15031506).pdf" TargetMode="External"/><Relationship Id="rId12" Type="http://schemas.openxmlformats.org/officeDocument/2006/relationships/hyperlink" Target="http://data.energizer.com/PDFs/1212.pdf" TargetMode="External"/><Relationship Id="rId2" Type="http://schemas.openxmlformats.org/officeDocument/2006/relationships/hyperlink" Target="https://www.arduino.cc/en/Main/ArduinoBoardProMini" TargetMode="External"/><Relationship Id="rId1" Type="http://schemas.openxmlformats.org/officeDocument/2006/relationships/hyperlink" Target="https://ukhas.org.uk/ideas:power_supply" TargetMode="External"/><Relationship Id="rId6" Type="http://schemas.openxmlformats.org/officeDocument/2006/relationships/hyperlink" Target="https://cdn-shop.adafruit.com/datasheets/BST-BMP180-DS000-09.pdf" TargetMode="External"/><Relationship Id="rId11" Type="http://schemas.openxmlformats.org/officeDocument/2006/relationships/hyperlink" Target="http://www.home-automation-community.com/arduino-low-power-how-to-run-atmega328p-for-a-year-on-coin-cell-battery/" TargetMode="External"/><Relationship Id="rId5" Type="http://schemas.openxmlformats.org/officeDocument/2006/relationships/hyperlink" Target="https://www.sparkfun.com/datasheets/Sensors/Accelerometer/ADXL345.pdf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s://andreasrohner.at/posts/Electronics/How-to-modify-an-Arduino-Pro-Mini-clone-for-low-power-consumption/" TargetMode="External"/><Relationship Id="rId4" Type="http://schemas.openxmlformats.org/officeDocument/2006/relationships/hyperlink" Target="http://www.home-automation-community.com/arduino-low-power-how-to-run-atmega328p-for-a-year-on-coin-cell-battery/" TargetMode="External"/><Relationship Id="rId9" Type="http://schemas.openxmlformats.org/officeDocument/2006/relationships/hyperlink" Target="http://data.energizer.com/PDFs/l91.pdf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sparkfun.com/tutorials/240" TargetMode="External"/><Relationship Id="rId2" Type="http://schemas.openxmlformats.org/officeDocument/2006/relationships/hyperlink" Target="https://www.sparkfun.com/datasheets/Sensors/Accelerometer/ADXL345.pdf" TargetMode="External"/><Relationship Id="rId1" Type="http://schemas.openxmlformats.org/officeDocument/2006/relationships/hyperlink" Target="https://www.proto-pic.co.uk/triple-axis-accelerometer-breakout-new-adxl345.html" TargetMode="External"/><Relationship Id="rId4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hyperlink" Target="http://cdn.sparkfun.com/datasheets/BreakoutBoards/HTU21D.pdf" TargetMode="External"/><Relationship Id="rId2" Type="http://schemas.openxmlformats.org/officeDocument/2006/relationships/hyperlink" Target="https://learn.sparkfun.com/tutorials/htu21d-humidity-sensor-hookup-guide" TargetMode="External"/><Relationship Id="rId1" Type="http://schemas.openxmlformats.org/officeDocument/2006/relationships/hyperlink" Target="https://www.proto-pic.co.uk/sparkfun-humidity-and-temperature-sensor-breakout-htu21d.html" TargetMode="External"/><Relationship Id="rId4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sparkfun.com/tutorials/301" TargetMode="External"/><Relationship Id="rId2" Type="http://schemas.openxmlformats.org/officeDocument/2006/relationships/hyperlink" Target="https://dlnmh9ip6v2uc.cloudfront.net/datasheets/Sensors/Magneto/HMC5883L-FDS.pdf" TargetMode="External"/><Relationship Id="rId1" Type="http://schemas.openxmlformats.org/officeDocument/2006/relationships/hyperlink" Target="https://www.proto-pic.co.uk/triple-axis-magnetometer-breakout-hmc5883l.html" TargetMode="External"/><Relationship Id="rId4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hyperlink" Target="https://cdn.sparkfun.com/datasheets/BreakoutBoards/FT232R-Breakout_v37.pdf" TargetMode="External"/><Relationship Id="rId2" Type="http://schemas.openxmlformats.org/officeDocument/2006/relationships/hyperlink" Target="https://learn.sparkfun.com/tutorials/ftdi-smartbasic-hookup-guide" TargetMode="External"/><Relationship Id="rId1" Type="http://schemas.openxmlformats.org/officeDocument/2006/relationships/hyperlink" Target="https://cdn.sparkfun.com/datasheets/BreakoutBoards/DS_FT232R.pdf" TargetMode="External"/><Relationship Id="rId4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hyperlink" Target="https://github.com/sparkfun/OpenLog/wiki/Datasheet" TargetMode="External"/><Relationship Id="rId2" Type="http://schemas.openxmlformats.org/officeDocument/2006/relationships/hyperlink" Target="http://www.hobbytronics.co.uk/openlog-datalogger?keyword=openlog" TargetMode="External"/><Relationship Id="rId1" Type="http://schemas.openxmlformats.org/officeDocument/2006/relationships/hyperlink" Target="https://learn.sparkfun.com/tutorials/openlog-hookup-guide" TargetMode="External"/><Relationship Id="rId5" Type="http://schemas.openxmlformats.org/officeDocument/2006/relationships/drawing" Target="../drawings/drawing14.xml"/><Relationship Id="rId4" Type="http://schemas.openxmlformats.org/officeDocument/2006/relationships/hyperlink" Target="https://github.com/sparkfun/OpenLog/wiki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gammon.com.au/adc" TargetMode="External"/><Relationship Id="rId2" Type="http://schemas.openxmlformats.org/officeDocument/2006/relationships/hyperlink" Target="https://hackingmajenkoblog.wordpress.com/2016/02/01/making-accurate-adc-readings-on-the-arduino/" TargetMode="External"/><Relationship Id="rId1" Type="http://schemas.openxmlformats.org/officeDocument/2006/relationships/hyperlink" Target="https://rlogiacco.wordpress.com/2015/03/04/arduino-analogread-pitfalls/" TargetMode="External"/><Relationship Id="rId4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hyperlink" Target="https://ukhas.org.uk/communication:protocol?s%5b%5d=checksum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.xml"/><Relationship Id="rId3" Type="http://schemas.openxmlformats.org/officeDocument/2006/relationships/hyperlink" Target="http://www.whizzy.org/2015/06/howto-very-low-power-usage-on-pro-mini-v2-arduino-clone/" TargetMode="External"/><Relationship Id="rId7" Type="http://schemas.openxmlformats.org/officeDocument/2006/relationships/printerSettings" Target="../printerSettings/printerSettings2.bin"/><Relationship Id="rId2" Type="http://schemas.openxmlformats.org/officeDocument/2006/relationships/hyperlink" Target="https://www.arduino.cc/en/Main/ArduinoBoardProMini" TargetMode="External"/><Relationship Id="rId1" Type="http://schemas.openxmlformats.org/officeDocument/2006/relationships/hyperlink" Target="https://www.proto-pic.co.uk/arduino-pro-mini-328-33v8mhznew.html" TargetMode="External"/><Relationship Id="rId6" Type="http://schemas.openxmlformats.org/officeDocument/2006/relationships/hyperlink" Target="https://www.arduino.cc/en/uploads/Main/Arduino-Pro-Mini-schematic.pdf" TargetMode="External"/><Relationship Id="rId5" Type="http://schemas.openxmlformats.org/officeDocument/2006/relationships/hyperlink" Target="https://learn.sparkfun.com/tutorials/using-the-arduino-pro-mini-33v" TargetMode="External"/><Relationship Id="rId4" Type="http://schemas.openxmlformats.org/officeDocument/2006/relationships/hyperlink" Target="http://www.atmel.com/images/Atmel-8271-8-bit-AVR-Microcontroller-ATmega48A-48PA-88A-88PA-168A-168PA-328-328P_datasheet_Complete.pdf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://arduiniana.org/libraries/tinygpsplus/" TargetMode="External"/><Relationship Id="rId3" Type="http://schemas.openxmlformats.org/officeDocument/2006/relationships/hyperlink" Target="http://ava.upuaut.net/?p=738" TargetMode="External"/><Relationship Id="rId7" Type="http://schemas.openxmlformats.org/officeDocument/2006/relationships/hyperlink" Target="http://aprs.gids.nl/nmea/" TargetMode="External"/><Relationship Id="rId12" Type="http://schemas.openxmlformats.org/officeDocument/2006/relationships/drawing" Target="../drawings/drawing3.xml"/><Relationship Id="rId2" Type="http://schemas.openxmlformats.org/officeDocument/2006/relationships/hyperlink" Target="https://dl.dropboxusercontent.com/u/63720513/HAB%20Supplies%20Datasheets/HAB-BO-M8Q.pdf" TargetMode="External"/><Relationship Id="rId1" Type="http://schemas.openxmlformats.org/officeDocument/2006/relationships/hyperlink" Target="https://store.uputronics.com/?route=product/product&amp;product_id=83" TargetMode="External"/><Relationship Id="rId6" Type="http://schemas.openxmlformats.org/officeDocument/2006/relationships/hyperlink" Target="http://catb.org/gpsd/NMEA.html" TargetMode="External"/><Relationship Id="rId11" Type="http://schemas.openxmlformats.org/officeDocument/2006/relationships/hyperlink" Target="https://www.u-blox.com/sites/default/files/products/documents/PowerManagement_AppNote_(UBX-13005162).pdf" TargetMode="External"/><Relationship Id="rId5" Type="http://schemas.openxmlformats.org/officeDocument/2006/relationships/hyperlink" Target="https://www.u-blox.com/sites/default/files/MAX-M8-FW3_DataSheet_(UBX-15031506).pdf" TargetMode="External"/><Relationship Id="rId10" Type="http://schemas.openxmlformats.org/officeDocument/2006/relationships/hyperlink" Target="https://ukhas.org.uk/guides:falcom_fsa03" TargetMode="External"/><Relationship Id="rId4" Type="http://schemas.openxmlformats.org/officeDocument/2006/relationships/hyperlink" Target="https://ukhas.org.uk/guides:ublox6" TargetMode="External"/><Relationship Id="rId9" Type="http://schemas.openxmlformats.org/officeDocument/2006/relationships/hyperlink" Target="https://www.u-blox.com/sites/default/files/products/documents/u-blox8-M8_ReceiverDescrProtSpec_%28UBX-13003221%29_Public.pdf?utm_source=en/images/downloads/Product_Docs/u-bloxM8_ReceiverDescriptionProtocolSpec_%28UBX-13003221%29_Public.pdf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ukhas.org.uk/projects:dl-fldigi" TargetMode="External"/><Relationship Id="rId3" Type="http://schemas.openxmlformats.org/officeDocument/2006/relationships/hyperlink" Target="http://www.radiometrix.com/files/additional/NTX2B.pdf" TargetMode="External"/><Relationship Id="rId7" Type="http://schemas.openxmlformats.org/officeDocument/2006/relationships/hyperlink" Target="http://ava.upuaut.net/?p=617" TargetMode="External"/><Relationship Id="rId2" Type="http://schemas.openxmlformats.org/officeDocument/2006/relationships/hyperlink" Target="https://ukhas.org.uk/guides:linkingarduinotontx2" TargetMode="External"/><Relationship Id="rId1" Type="http://schemas.openxmlformats.org/officeDocument/2006/relationships/hyperlink" Target="https://store.uputronics.com/index.php?route=product/product&amp;path=61&amp;product_id=60" TargetMode="External"/><Relationship Id="rId6" Type="http://schemas.openxmlformats.org/officeDocument/2006/relationships/hyperlink" Target="http://www.w1hkj.com/FldigiHelp/index.html" TargetMode="External"/><Relationship Id="rId11" Type="http://schemas.openxmlformats.org/officeDocument/2006/relationships/drawing" Target="../drawings/drawing4.xml"/><Relationship Id="rId5" Type="http://schemas.openxmlformats.org/officeDocument/2006/relationships/hyperlink" Target="https://ukhas.org.uk/guides:tracking_guide" TargetMode="External"/><Relationship Id="rId10" Type="http://schemas.openxmlformats.org/officeDocument/2006/relationships/printerSettings" Target="../printerSettings/printerSettings3.bin"/><Relationship Id="rId4" Type="http://schemas.openxmlformats.org/officeDocument/2006/relationships/hyperlink" Target="https://ukhas.org.uk/guides:payload_antenna" TargetMode="External"/><Relationship Id="rId9" Type="http://schemas.openxmlformats.org/officeDocument/2006/relationships/hyperlink" Target="http://www.nooelec.com/store/qs/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ukhas.org.uk/projects:dl-fldigi" TargetMode="External"/><Relationship Id="rId3" Type="http://schemas.openxmlformats.org/officeDocument/2006/relationships/hyperlink" Target="http://www.radiometrix.com/files/additional/NTX2B.pdf" TargetMode="External"/><Relationship Id="rId7" Type="http://schemas.openxmlformats.org/officeDocument/2006/relationships/hyperlink" Target="http://ava.upuaut.net/?p=617" TargetMode="External"/><Relationship Id="rId2" Type="http://schemas.openxmlformats.org/officeDocument/2006/relationships/hyperlink" Target="https://ukhas.org.uk/guides:linkingarduinotontx2" TargetMode="External"/><Relationship Id="rId1" Type="http://schemas.openxmlformats.org/officeDocument/2006/relationships/hyperlink" Target="https://store.uputronics.com/index.php?route=product/product&amp;path=61&amp;product_id=60" TargetMode="External"/><Relationship Id="rId6" Type="http://schemas.openxmlformats.org/officeDocument/2006/relationships/hyperlink" Target="http://www.w1hkj.com/FldigiHelp/index.html" TargetMode="External"/><Relationship Id="rId11" Type="http://schemas.openxmlformats.org/officeDocument/2006/relationships/drawing" Target="../drawings/drawing5.xml"/><Relationship Id="rId5" Type="http://schemas.openxmlformats.org/officeDocument/2006/relationships/hyperlink" Target="https://ukhas.org.uk/guides:tracking_guide" TargetMode="External"/><Relationship Id="rId10" Type="http://schemas.openxmlformats.org/officeDocument/2006/relationships/printerSettings" Target="../printerSettings/printerSettings4.bin"/><Relationship Id="rId4" Type="http://schemas.openxmlformats.org/officeDocument/2006/relationships/hyperlink" Target="https://ukhas.org.uk/guides:payload_antenna" TargetMode="External"/><Relationship Id="rId9" Type="http://schemas.openxmlformats.org/officeDocument/2006/relationships/hyperlink" Target="http://www.nooelec.com/store/qs/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https://learn.adafruit.com/adafruit-micro-sd-breakout-board-card-tutorial" TargetMode="External"/><Relationship Id="rId1" Type="http://schemas.openxmlformats.org/officeDocument/2006/relationships/hyperlink" Target="https://www.proto-pic.co.uk/microsd-card-breakout-board.html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proto-pic.co.uk/breakout-board-for-microsd-transflash.html" TargetMode="External"/><Relationship Id="rId2" Type="http://schemas.openxmlformats.org/officeDocument/2006/relationships/hyperlink" Target="https://learn.sparkfun.com/tutorials/microsd-shield-and-sd-breakout-hookup-guide" TargetMode="External"/><Relationship Id="rId1" Type="http://schemas.openxmlformats.org/officeDocument/2006/relationships/hyperlink" Target="https://developer.mbed.org/cookbook/SD-Card-File-System" TargetMode="External"/><Relationship Id="rId4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proto-pic.co.uk/one-wire-digital-temperature-sensor-ds18b20.html" TargetMode="External"/><Relationship Id="rId2" Type="http://schemas.openxmlformats.org/officeDocument/2006/relationships/hyperlink" Target="http://bildr.org/2011/07/ds18b20-arduino/" TargetMode="External"/><Relationship Id="rId1" Type="http://schemas.openxmlformats.org/officeDocument/2006/relationships/hyperlink" Target="http://datasheets.maximintegrated.com/en/ds/DS18B20.pdf" TargetMode="External"/><Relationship Id="rId4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learn.sparkfun.com/tutorials/bmp180-barometric-pressure-sensor-hookup-" TargetMode="External"/><Relationship Id="rId2" Type="http://schemas.openxmlformats.org/officeDocument/2006/relationships/hyperlink" Target="https://www.proto-pic.co.uk/sparkfun-barometric-pressure-sensor-breakout-bmp180.html" TargetMode="External"/><Relationship Id="rId1" Type="http://schemas.openxmlformats.org/officeDocument/2006/relationships/hyperlink" Target="http://cdn.sparkfun.com/datasheets/Sensors/Pressure/BMP180.pdf" TargetMode="External"/><Relationship Id="rId5" Type="http://schemas.openxmlformats.org/officeDocument/2006/relationships/drawing" Target="../drawings/drawing9.xml"/><Relationship Id="rId4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>
  <sheetPr codeName="Sheet1"/>
  <dimension ref="B1:AG103"/>
  <sheetViews>
    <sheetView topLeftCell="A43" zoomScale="70" zoomScaleNormal="70" workbookViewId="0">
      <selection activeCell="D81" sqref="D81"/>
    </sheetView>
  </sheetViews>
  <sheetFormatPr defaultRowHeight="15"/>
  <cols>
    <col min="4" max="4" width="10" bestFit="1" customWidth="1"/>
    <col min="7" max="7" width="10" bestFit="1" customWidth="1"/>
  </cols>
  <sheetData>
    <row r="1" spans="2:33">
      <c r="B1" s="1" t="s">
        <v>117</v>
      </c>
      <c r="J1" t="s">
        <v>329</v>
      </c>
      <c r="L1" s="1" t="s">
        <v>330</v>
      </c>
    </row>
    <row r="2" spans="2:33">
      <c r="B2" s="1" t="s">
        <v>38</v>
      </c>
      <c r="L2" s="1" t="s">
        <v>135</v>
      </c>
    </row>
    <row r="4" spans="2:33">
      <c r="M4" t="s">
        <v>120</v>
      </c>
    </row>
    <row r="5" spans="2:33">
      <c r="I5" t="s">
        <v>301</v>
      </c>
      <c r="J5" t="s">
        <v>302</v>
      </c>
      <c r="P5" t="s">
        <v>128</v>
      </c>
    </row>
    <row r="6" spans="2:33">
      <c r="I6" t="s">
        <v>300</v>
      </c>
      <c r="J6" t="s">
        <v>303</v>
      </c>
      <c r="M6" t="s">
        <v>121</v>
      </c>
      <c r="N6" t="s">
        <v>122</v>
      </c>
      <c r="O6" t="s">
        <v>123</v>
      </c>
      <c r="P6" t="s">
        <v>124</v>
      </c>
      <c r="Q6" t="s">
        <v>125</v>
      </c>
      <c r="R6" t="s">
        <v>126</v>
      </c>
      <c r="S6" t="s">
        <v>127</v>
      </c>
    </row>
    <row r="7" spans="2:33">
      <c r="B7" t="s">
        <v>298</v>
      </c>
      <c r="E7" s="1" t="s">
        <v>299</v>
      </c>
      <c r="I7">
        <v>3200</v>
      </c>
      <c r="J7">
        <f>I7*2/250</f>
        <v>25.6</v>
      </c>
      <c r="K7" t="s">
        <v>306</v>
      </c>
      <c r="M7">
        <v>1</v>
      </c>
      <c r="N7">
        <f t="shared" ref="N7:N12" si="0">M7*800</f>
        <v>800</v>
      </c>
      <c r="O7">
        <f t="shared" ref="O7:O12" si="1">M7*1.5</f>
        <v>1.5</v>
      </c>
      <c r="P7" s="16">
        <f t="shared" ref="P7:P12" si="2">N7/500</f>
        <v>1.6</v>
      </c>
      <c r="Q7" s="16">
        <f t="shared" ref="Q7:Q12" si="3">N7/400</f>
        <v>2</v>
      </c>
      <c r="R7" s="16">
        <f t="shared" ref="R7:R12" si="4">N7/300</f>
        <v>2.6666666666666665</v>
      </c>
      <c r="S7" s="16">
        <f t="shared" ref="S7:S12" si="5">N7/200</f>
        <v>4</v>
      </c>
    </row>
    <row r="8" spans="2:33">
      <c r="B8" t="s">
        <v>118</v>
      </c>
      <c r="E8" s="1" t="s">
        <v>119</v>
      </c>
      <c r="I8">
        <v>1100</v>
      </c>
      <c r="J8">
        <f>I8*2/250</f>
        <v>8.8000000000000007</v>
      </c>
      <c r="K8" t="s">
        <v>307</v>
      </c>
      <c r="M8">
        <v>2</v>
      </c>
      <c r="N8">
        <f t="shared" si="0"/>
        <v>1600</v>
      </c>
      <c r="O8">
        <f t="shared" si="1"/>
        <v>3</v>
      </c>
      <c r="P8" s="16">
        <f t="shared" si="2"/>
        <v>3.2</v>
      </c>
      <c r="Q8" s="16">
        <f t="shared" si="3"/>
        <v>4</v>
      </c>
      <c r="R8" s="16">
        <f t="shared" si="4"/>
        <v>5.333333333333333</v>
      </c>
      <c r="S8" s="16">
        <f t="shared" si="5"/>
        <v>8</v>
      </c>
    </row>
    <row r="9" spans="2:33">
      <c r="M9">
        <v>3</v>
      </c>
      <c r="N9">
        <f t="shared" si="0"/>
        <v>2400</v>
      </c>
      <c r="O9">
        <f t="shared" si="1"/>
        <v>4.5</v>
      </c>
      <c r="P9" s="16">
        <f t="shared" si="2"/>
        <v>4.8</v>
      </c>
      <c r="Q9" s="16">
        <f t="shared" si="3"/>
        <v>6</v>
      </c>
      <c r="R9" s="16">
        <f t="shared" si="4"/>
        <v>8</v>
      </c>
      <c r="S9" s="16">
        <f t="shared" si="5"/>
        <v>12</v>
      </c>
      <c r="T9" s="1" t="s">
        <v>135</v>
      </c>
    </row>
    <row r="10" spans="2:33">
      <c r="M10">
        <v>4</v>
      </c>
      <c r="N10">
        <f t="shared" si="0"/>
        <v>3200</v>
      </c>
      <c r="O10">
        <f t="shared" si="1"/>
        <v>6</v>
      </c>
      <c r="P10" s="16">
        <f t="shared" si="2"/>
        <v>6.4</v>
      </c>
      <c r="Q10" s="16">
        <f t="shared" si="3"/>
        <v>8</v>
      </c>
      <c r="R10" s="16">
        <f t="shared" si="4"/>
        <v>10.666666666666666</v>
      </c>
      <c r="S10" s="16">
        <f t="shared" si="5"/>
        <v>16</v>
      </c>
    </row>
    <row r="11" spans="2:33">
      <c r="M11">
        <v>5</v>
      </c>
      <c r="N11">
        <f t="shared" si="0"/>
        <v>4000</v>
      </c>
      <c r="O11">
        <f t="shared" si="1"/>
        <v>7.5</v>
      </c>
      <c r="P11" s="16">
        <f t="shared" si="2"/>
        <v>8</v>
      </c>
      <c r="Q11" s="16">
        <f t="shared" si="3"/>
        <v>10</v>
      </c>
      <c r="R11" s="16">
        <f t="shared" si="4"/>
        <v>13.333333333333334</v>
      </c>
      <c r="S11" s="16">
        <f t="shared" si="5"/>
        <v>20</v>
      </c>
    </row>
    <row r="12" spans="2:33">
      <c r="B12" t="s">
        <v>142</v>
      </c>
      <c r="M12">
        <v>6</v>
      </c>
      <c r="N12">
        <f t="shared" si="0"/>
        <v>4800</v>
      </c>
      <c r="O12">
        <f t="shared" si="1"/>
        <v>9</v>
      </c>
      <c r="P12" s="16">
        <f t="shared" si="2"/>
        <v>9.6</v>
      </c>
      <c r="Q12" s="16">
        <f t="shared" si="3"/>
        <v>12</v>
      </c>
      <c r="R12" s="16">
        <f t="shared" si="4"/>
        <v>16</v>
      </c>
      <c r="S12" s="16">
        <f t="shared" si="5"/>
        <v>24</v>
      </c>
      <c r="AF12" t="s">
        <v>333</v>
      </c>
    </row>
    <row r="13" spans="2:33">
      <c r="B13" t="s">
        <v>143</v>
      </c>
      <c r="AF13">
        <f>4.74-3.9</f>
        <v>0.8400000000000003</v>
      </c>
      <c r="AG13" t="s">
        <v>332</v>
      </c>
    </row>
    <row r="14" spans="2:33">
      <c r="C14" s="1" t="s">
        <v>144</v>
      </c>
    </row>
    <row r="15" spans="2:33">
      <c r="AF15" t="s">
        <v>331</v>
      </c>
    </row>
    <row r="16" spans="2:33">
      <c r="AF16">
        <f>3.9-3.58</f>
        <v>0.31999999999999984</v>
      </c>
      <c r="AG16" t="s">
        <v>332</v>
      </c>
    </row>
    <row r="20" spans="2:23">
      <c r="P20" t="s">
        <v>129</v>
      </c>
      <c r="Q20" t="s">
        <v>305</v>
      </c>
      <c r="W20" s="1" t="s">
        <v>61</v>
      </c>
    </row>
    <row r="21" spans="2:23">
      <c r="P21" t="s">
        <v>130</v>
      </c>
      <c r="Q21">
        <v>4.74</v>
      </c>
      <c r="R21" t="s">
        <v>134</v>
      </c>
    </row>
    <row r="22" spans="2:23">
      <c r="P22" t="s">
        <v>131</v>
      </c>
      <c r="Q22">
        <f>100/1000</f>
        <v>0.1</v>
      </c>
      <c r="R22" t="s">
        <v>136</v>
      </c>
    </row>
    <row r="23" spans="2:23">
      <c r="B23" t="s">
        <v>145</v>
      </c>
      <c r="P23" t="s">
        <v>2</v>
      </c>
      <c r="Q23">
        <f>5/1000</f>
        <v>5.0000000000000001E-3</v>
      </c>
    </row>
    <row r="24" spans="2:23">
      <c r="P24" t="s">
        <v>132</v>
      </c>
      <c r="Q24">
        <v>10</v>
      </c>
      <c r="R24" t="s">
        <v>140</v>
      </c>
    </row>
    <row r="25" spans="2:23">
      <c r="P25" s="35" t="s">
        <v>133</v>
      </c>
      <c r="Q25" s="36">
        <v>100</v>
      </c>
      <c r="R25" s="35" t="s">
        <v>141</v>
      </c>
      <c r="S25" s="35"/>
      <c r="T25" s="35"/>
      <c r="U25" s="35"/>
    </row>
    <row r="26" spans="2:23">
      <c r="P26" t="s">
        <v>1</v>
      </c>
      <c r="Q26">
        <v>18</v>
      </c>
    </row>
    <row r="27" spans="2:23">
      <c r="P27" t="s">
        <v>304</v>
      </c>
      <c r="Q27">
        <v>5</v>
      </c>
      <c r="W27" s="1" t="s">
        <v>137</v>
      </c>
    </row>
    <row r="28" spans="2:23">
      <c r="W28" t="s">
        <v>138</v>
      </c>
    </row>
    <row r="30" spans="2:23">
      <c r="P30" t="s">
        <v>28</v>
      </c>
      <c r="Q30">
        <f>SUM(Q21:Q24)+SUM(Q26:Q27)</f>
        <v>37.844999999999999</v>
      </c>
    </row>
    <row r="31" spans="2:23">
      <c r="W31" s="1" t="s">
        <v>139</v>
      </c>
    </row>
    <row r="42" spans="3:12" ht="18.75">
      <c r="C42" s="30" t="s">
        <v>233</v>
      </c>
    </row>
    <row r="46" spans="3:12">
      <c r="L46" t="s">
        <v>254</v>
      </c>
    </row>
    <row r="47" spans="3:12">
      <c r="D47">
        <f>5.05/5</f>
        <v>1.01</v>
      </c>
      <c r="E47">
        <f>1/D47</f>
        <v>0.99009900990099009</v>
      </c>
      <c r="G47">
        <f>1.1*E47</f>
        <v>1.0891089108910892</v>
      </c>
    </row>
    <row r="49" spans="4:9">
      <c r="D49">
        <f>1024*1.1*1000*0.9901</f>
        <v>1115248.6399999999</v>
      </c>
    </row>
    <row r="51" spans="4:9">
      <c r="G51">
        <f>1024*1000</f>
        <v>1024000</v>
      </c>
    </row>
    <row r="59" spans="4:9">
      <c r="E59" t="s">
        <v>308</v>
      </c>
      <c r="G59" t="s">
        <v>309</v>
      </c>
      <c r="H59" s="31" t="s">
        <v>310</v>
      </c>
      <c r="I59" t="s">
        <v>311</v>
      </c>
    </row>
    <row r="60" spans="4:9">
      <c r="G60" t="s">
        <v>312</v>
      </c>
      <c r="H60" s="31">
        <f>1.76*2</f>
        <v>3.52</v>
      </c>
    </row>
    <row r="61" spans="4:9">
      <c r="G61" t="s">
        <v>313</v>
      </c>
      <c r="H61" s="31">
        <f>1.76*3</f>
        <v>5.28</v>
      </c>
    </row>
    <row r="63" spans="4:9">
      <c r="D63" t="s">
        <v>316</v>
      </c>
    </row>
    <row r="64" spans="4:9">
      <c r="E64" t="s">
        <v>314</v>
      </c>
    </row>
    <row r="65" spans="4:14">
      <c r="E65">
        <f>2.9/2</f>
        <v>1.45</v>
      </c>
      <c r="F65" t="s">
        <v>315</v>
      </c>
    </row>
    <row r="66" spans="4:14">
      <c r="E66" t="s">
        <v>318</v>
      </c>
    </row>
    <row r="68" spans="4:14">
      <c r="D68" t="s">
        <v>317</v>
      </c>
    </row>
    <row r="71" spans="4:14">
      <c r="E71" t="s">
        <v>319</v>
      </c>
    </row>
    <row r="72" spans="4:14">
      <c r="F72" t="s">
        <v>324</v>
      </c>
      <c r="G72" t="s">
        <v>325</v>
      </c>
      <c r="H72" t="s">
        <v>326</v>
      </c>
      <c r="I72" t="s">
        <v>327</v>
      </c>
      <c r="J72" t="s">
        <v>538</v>
      </c>
    </row>
    <row r="73" spans="4:14">
      <c r="E73" t="s">
        <v>320</v>
      </c>
      <c r="F73">
        <f>2*1.8</f>
        <v>3.6</v>
      </c>
      <c r="G73">
        <f>15*2</f>
        <v>30</v>
      </c>
      <c r="H73">
        <f>3200*2</f>
        <v>6400</v>
      </c>
      <c r="I73" t="s">
        <v>328</v>
      </c>
      <c r="J73">
        <f>H73/G73</f>
        <v>213.33333333333334</v>
      </c>
    </row>
    <row r="74" spans="4:14">
      <c r="E74" t="s">
        <v>322</v>
      </c>
      <c r="F74">
        <f>3*1.8</f>
        <v>5.4</v>
      </c>
      <c r="G74">
        <f>15*3</f>
        <v>45</v>
      </c>
      <c r="H74">
        <f>3200*3</f>
        <v>9600</v>
      </c>
      <c r="I74" t="s">
        <v>88</v>
      </c>
      <c r="J74">
        <f>H74/G74</f>
        <v>213.33333333333334</v>
      </c>
    </row>
    <row r="75" spans="4:14">
      <c r="E75" t="s">
        <v>323</v>
      </c>
      <c r="F75">
        <f>2*1.8</f>
        <v>3.6</v>
      </c>
      <c r="G75">
        <f>2*7.6</f>
        <v>15.2</v>
      </c>
      <c r="H75">
        <f>1100*2</f>
        <v>2200</v>
      </c>
      <c r="I75" t="s">
        <v>328</v>
      </c>
      <c r="J75">
        <f>H75/G75</f>
        <v>144.73684210526318</v>
      </c>
    </row>
    <row r="76" spans="4:14">
      <c r="E76" t="s">
        <v>321</v>
      </c>
      <c r="F76">
        <f>3*1.8</f>
        <v>5.4</v>
      </c>
      <c r="G76">
        <f>7.6*3</f>
        <v>22.799999999999997</v>
      </c>
      <c r="H76">
        <f>1100*3</f>
        <v>3300</v>
      </c>
      <c r="I76" t="s">
        <v>88</v>
      </c>
      <c r="J76">
        <f>H76/G76</f>
        <v>144.73684210526318</v>
      </c>
    </row>
    <row r="77" spans="4:14">
      <c r="N77" t="s">
        <v>339</v>
      </c>
    </row>
    <row r="78" spans="4:14">
      <c r="N78" s="1" t="s">
        <v>338</v>
      </c>
    </row>
    <row r="80" spans="4:14">
      <c r="E80" t="s">
        <v>335</v>
      </c>
      <c r="F80">
        <v>4.34</v>
      </c>
      <c r="G80" t="s">
        <v>336</v>
      </c>
      <c r="H80" s="1" t="s">
        <v>337</v>
      </c>
    </row>
    <row r="88" spans="5:25">
      <c r="E88" t="s">
        <v>342</v>
      </c>
    </row>
    <row r="89" spans="5:25">
      <c r="E89" s="37">
        <v>42727</v>
      </c>
      <c r="F89" t="s">
        <v>343</v>
      </c>
      <c r="G89" t="s">
        <v>344</v>
      </c>
    </row>
    <row r="90" spans="5:25">
      <c r="E90" s="37">
        <v>42727</v>
      </c>
      <c r="F90" t="s">
        <v>343</v>
      </c>
      <c r="G90" t="s">
        <v>345</v>
      </c>
    </row>
    <row r="91" spans="5:25">
      <c r="F91" t="s">
        <v>346</v>
      </c>
      <c r="G91" t="s">
        <v>348</v>
      </c>
    </row>
    <row r="92" spans="5:25">
      <c r="F92" t="s">
        <v>347</v>
      </c>
      <c r="G92" t="s">
        <v>349</v>
      </c>
    </row>
    <row r="93" spans="5:25">
      <c r="E93" s="37">
        <v>42728</v>
      </c>
      <c r="F93" s="38" t="s">
        <v>350</v>
      </c>
      <c r="G93" s="38" t="s">
        <v>351</v>
      </c>
    </row>
    <row r="94" spans="5:25">
      <c r="F94" s="38" t="s">
        <v>353</v>
      </c>
      <c r="G94" s="38" t="s">
        <v>352</v>
      </c>
      <c r="L94" s="38" t="s">
        <v>357</v>
      </c>
      <c r="U94" s="37">
        <v>42728</v>
      </c>
      <c r="W94" t="s">
        <v>367</v>
      </c>
      <c r="X94" t="s">
        <v>368</v>
      </c>
    </row>
    <row r="95" spans="5:25">
      <c r="F95" s="38" t="s">
        <v>355</v>
      </c>
      <c r="G95" s="38" t="s">
        <v>354</v>
      </c>
      <c r="V95" t="s">
        <v>304</v>
      </c>
      <c r="W95" t="s">
        <v>366</v>
      </c>
      <c r="X95" t="s">
        <v>369</v>
      </c>
      <c r="Y95" t="s">
        <v>370</v>
      </c>
    </row>
    <row r="96" spans="5:25">
      <c r="F96" t="s">
        <v>356</v>
      </c>
      <c r="G96" t="s">
        <v>351</v>
      </c>
      <c r="V96" t="s">
        <v>371</v>
      </c>
      <c r="X96" t="s">
        <v>372</v>
      </c>
      <c r="Y96" t="s">
        <v>373</v>
      </c>
    </row>
    <row r="97" spans="6:25">
      <c r="F97" s="39" t="s">
        <v>358</v>
      </c>
      <c r="G97" s="39" t="s">
        <v>352</v>
      </c>
      <c r="V97" t="s">
        <v>374</v>
      </c>
      <c r="W97" t="s">
        <v>375</v>
      </c>
      <c r="X97" t="s">
        <v>376</v>
      </c>
      <c r="Y97" t="s">
        <v>377</v>
      </c>
    </row>
    <row r="98" spans="6:25">
      <c r="F98" s="38" t="s">
        <v>359</v>
      </c>
      <c r="G98" t="s">
        <v>360</v>
      </c>
      <c r="V98" t="s">
        <v>379</v>
      </c>
      <c r="W98" t="s">
        <v>378</v>
      </c>
      <c r="X98" t="s">
        <v>380</v>
      </c>
    </row>
    <row r="99" spans="6:25">
      <c r="F99" s="39" t="s">
        <v>361</v>
      </c>
      <c r="G99" t="s">
        <v>364</v>
      </c>
      <c r="V99" t="s">
        <v>381</v>
      </c>
      <c r="W99" t="s">
        <v>382</v>
      </c>
    </row>
    <row r="100" spans="6:25">
      <c r="F100" s="39" t="s">
        <v>362</v>
      </c>
      <c r="G100" t="s">
        <v>363</v>
      </c>
      <c r="L100" t="s">
        <v>365</v>
      </c>
      <c r="V100" t="s">
        <v>383</v>
      </c>
      <c r="X100" t="s">
        <v>384</v>
      </c>
    </row>
    <row r="101" spans="6:25">
      <c r="V101" t="s">
        <v>385</v>
      </c>
      <c r="W101" t="s">
        <v>386</v>
      </c>
      <c r="X101" t="s">
        <v>387</v>
      </c>
      <c r="Y101" t="s">
        <v>388</v>
      </c>
    </row>
    <row r="103" spans="6:25">
      <c r="X103">
        <f>6+31+17.6+1.3+3.8</f>
        <v>59.699999999999996</v>
      </c>
    </row>
  </sheetData>
  <hyperlinks>
    <hyperlink ref="B1" r:id="rId1"/>
    <hyperlink ref="B2" r:id="rId2"/>
    <hyperlink ref="E8" r:id="rId3"/>
    <hyperlink ref="T9" r:id="rId4"/>
    <hyperlink ref="W20" r:id="rId5"/>
    <hyperlink ref="W27" r:id="rId6"/>
    <hyperlink ref="W31" r:id="rId7"/>
    <hyperlink ref="C14" r:id="rId8"/>
    <hyperlink ref="E7" r:id="rId9"/>
    <hyperlink ref="L1" r:id="rId10"/>
    <hyperlink ref="L2" r:id="rId11"/>
    <hyperlink ref="H80" r:id="rId12"/>
    <hyperlink ref="N78" r:id="rId13"/>
  </hyperlinks>
  <pageMargins left="0.7" right="0.7" top="0.75" bottom="0.75" header="0.3" footer="0.3"/>
  <pageSetup paperSize="9" orientation="portrait" r:id="rId14"/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>
  <sheetPr codeName="Sheet9">
    <tabColor theme="9"/>
  </sheetPr>
  <dimension ref="B2:C6"/>
  <sheetViews>
    <sheetView workbookViewId="0">
      <selection activeCell="J24" sqref="J24"/>
    </sheetView>
  </sheetViews>
  <sheetFormatPr defaultRowHeight="15"/>
  <sheetData>
    <row r="2" spans="2:3">
      <c r="B2" t="s">
        <v>39</v>
      </c>
      <c r="C2" s="1" t="s">
        <v>60</v>
      </c>
    </row>
    <row r="3" spans="2:3">
      <c r="B3" t="s">
        <v>34</v>
      </c>
      <c r="C3" s="1" t="s">
        <v>61</v>
      </c>
    </row>
    <row r="4" spans="2:3">
      <c r="B4" t="s">
        <v>54</v>
      </c>
      <c r="C4" s="1" t="s">
        <v>62</v>
      </c>
    </row>
    <row r="5" spans="2:3">
      <c r="B5" t="s">
        <v>59</v>
      </c>
      <c r="C5" s="2">
        <v>15.17</v>
      </c>
    </row>
    <row r="6" spans="2:3">
      <c r="B6" t="s">
        <v>63</v>
      </c>
      <c r="C6" t="s">
        <v>64</v>
      </c>
    </row>
  </sheetData>
  <hyperlinks>
    <hyperlink ref="C2" r:id="rId1"/>
    <hyperlink ref="C3" r:id="rId2"/>
    <hyperlink ref="C4" r:id="rId3"/>
  </hyperlinks>
  <pageMargins left="0.7" right="0.7" top="0.75" bottom="0.75" header="0.3" footer="0.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>
  <sheetPr codeName="Sheet10">
    <tabColor theme="9"/>
  </sheetPr>
  <dimension ref="B2:C6"/>
  <sheetViews>
    <sheetView workbookViewId="0">
      <selection activeCell="L28" sqref="L28"/>
    </sheetView>
  </sheetViews>
  <sheetFormatPr defaultRowHeight="15"/>
  <sheetData>
    <row r="2" spans="2:3">
      <c r="B2" t="s">
        <v>39</v>
      </c>
      <c r="C2" s="1" t="s">
        <v>68</v>
      </c>
    </row>
    <row r="3" spans="2:3">
      <c r="B3" t="s">
        <v>34</v>
      </c>
      <c r="C3" s="1" t="s">
        <v>69</v>
      </c>
    </row>
    <row r="4" spans="2:3">
      <c r="B4" t="s">
        <v>54</v>
      </c>
      <c r="C4" s="1" t="s">
        <v>67</v>
      </c>
    </row>
    <row r="5" spans="2:3">
      <c r="B5" t="s">
        <v>59</v>
      </c>
      <c r="C5" s="2">
        <v>11.88</v>
      </c>
    </row>
    <row r="6" spans="2:3">
      <c r="B6" t="s">
        <v>63</v>
      </c>
      <c r="C6" t="s">
        <v>64</v>
      </c>
    </row>
  </sheetData>
  <hyperlinks>
    <hyperlink ref="C2" r:id="rId1"/>
    <hyperlink ref="C4" r:id="rId2"/>
    <hyperlink ref="C3" r:id="rId3"/>
  </hyperlinks>
  <pageMargins left="0.7" right="0.7" top="0.75" bottom="0.75" header="0.3" footer="0.3"/>
  <drawing r:id="rId4"/>
</worksheet>
</file>

<file path=xl/worksheets/sheet12.xml><?xml version="1.0" encoding="utf-8"?>
<worksheet xmlns="http://schemas.openxmlformats.org/spreadsheetml/2006/main" xmlns:r="http://schemas.openxmlformats.org/officeDocument/2006/relationships">
  <sheetPr codeName="Sheet11">
    <tabColor theme="9"/>
  </sheetPr>
  <dimension ref="B2:C6"/>
  <sheetViews>
    <sheetView workbookViewId="0">
      <selection activeCell="C2" sqref="C2"/>
    </sheetView>
  </sheetViews>
  <sheetFormatPr defaultRowHeight="15"/>
  <sheetData>
    <row r="2" spans="2:3">
      <c r="B2" t="s">
        <v>39</v>
      </c>
      <c r="C2" s="1" t="s">
        <v>70</v>
      </c>
    </row>
    <row r="3" spans="2:3">
      <c r="B3" t="s">
        <v>34</v>
      </c>
      <c r="C3" s="1" t="s">
        <v>71</v>
      </c>
    </row>
    <row r="4" spans="2:3">
      <c r="B4" t="s">
        <v>54</v>
      </c>
      <c r="C4" s="1" t="s">
        <v>72</v>
      </c>
    </row>
    <row r="5" spans="2:3">
      <c r="B5" t="s">
        <v>59</v>
      </c>
      <c r="C5" s="2">
        <v>11.87</v>
      </c>
    </row>
    <row r="6" spans="2:3">
      <c r="B6" t="s">
        <v>63</v>
      </c>
      <c r="C6" t="s">
        <v>0</v>
      </c>
    </row>
  </sheetData>
  <hyperlinks>
    <hyperlink ref="C2" r:id="rId1"/>
    <hyperlink ref="C3" r:id="rId2"/>
    <hyperlink ref="C4" r:id="rId3"/>
  </hyperlinks>
  <pageMargins left="0.7" right="0.7" top="0.75" bottom="0.75" header="0.3" footer="0.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>
  <sheetPr codeName="Sheet12">
    <tabColor theme="9"/>
  </sheetPr>
  <dimension ref="B2:K21"/>
  <sheetViews>
    <sheetView workbookViewId="0">
      <selection activeCell="H18" sqref="H18"/>
    </sheetView>
  </sheetViews>
  <sheetFormatPr defaultRowHeight="15"/>
  <sheetData>
    <row r="2" spans="2:3">
      <c r="B2" t="s">
        <v>39</v>
      </c>
      <c r="C2" s="1" t="s">
        <v>224</v>
      </c>
    </row>
    <row r="3" spans="2:3">
      <c r="B3" t="s">
        <v>34</v>
      </c>
      <c r="C3" s="1" t="s">
        <v>223</v>
      </c>
    </row>
    <row r="4" spans="2:3">
      <c r="B4" t="s">
        <v>54</v>
      </c>
      <c r="C4" s="1" t="s">
        <v>222</v>
      </c>
    </row>
    <row r="5" spans="2:3">
      <c r="B5" t="s">
        <v>59</v>
      </c>
      <c r="C5" s="2">
        <v>9.48</v>
      </c>
    </row>
    <row r="6" spans="2:3">
      <c r="B6" t="s">
        <v>63</v>
      </c>
      <c r="C6" t="s">
        <v>225</v>
      </c>
    </row>
    <row r="21" spans="11:11">
      <c r="K21" s="1" t="s">
        <v>226</v>
      </c>
    </row>
  </sheetData>
  <hyperlinks>
    <hyperlink ref="C3" r:id="rId1"/>
    <hyperlink ref="C4" r:id="rId2"/>
    <hyperlink ref="K21" r:id="rId3"/>
  </hyperlinks>
  <pageMargins left="0.7" right="0.7" top="0.75" bottom="0.75" header="0.3" footer="0.3"/>
  <drawing r:id="rId4"/>
</worksheet>
</file>

<file path=xl/worksheets/sheet14.xml><?xml version="1.0" encoding="utf-8"?>
<worksheet xmlns="http://schemas.openxmlformats.org/spreadsheetml/2006/main" xmlns:r="http://schemas.openxmlformats.org/officeDocument/2006/relationships">
  <sheetPr codeName="Sheet13">
    <tabColor theme="9"/>
  </sheetPr>
  <dimension ref="B2:C8"/>
  <sheetViews>
    <sheetView workbookViewId="0">
      <selection activeCell="C4" sqref="C4"/>
    </sheetView>
  </sheetViews>
  <sheetFormatPr defaultRowHeight="15"/>
  <sheetData>
    <row r="2" spans="2:3">
      <c r="B2" t="s">
        <v>39</v>
      </c>
      <c r="C2" s="1" t="s">
        <v>228</v>
      </c>
    </row>
    <row r="3" spans="2:3">
      <c r="B3" t="s">
        <v>34</v>
      </c>
      <c r="C3" s="1"/>
    </row>
    <row r="4" spans="2:3">
      <c r="B4" t="s">
        <v>54</v>
      </c>
      <c r="C4" s="1" t="s">
        <v>227</v>
      </c>
    </row>
    <row r="5" spans="2:3">
      <c r="C5" s="1" t="s">
        <v>229</v>
      </c>
    </row>
    <row r="6" spans="2:3">
      <c r="C6" s="1" t="s">
        <v>230</v>
      </c>
    </row>
    <row r="7" spans="2:3">
      <c r="B7" t="s">
        <v>59</v>
      </c>
      <c r="C7" s="2">
        <v>11.4</v>
      </c>
    </row>
    <row r="8" spans="2:3">
      <c r="B8" t="s">
        <v>63</v>
      </c>
      <c r="C8" t="s">
        <v>225</v>
      </c>
    </row>
  </sheetData>
  <hyperlinks>
    <hyperlink ref="C4" r:id="rId1"/>
    <hyperlink ref="C2" r:id="rId2"/>
    <hyperlink ref="C5" r:id="rId3"/>
    <hyperlink ref="C6" r:id="rId4"/>
  </hyperlinks>
  <pageMargins left="0.7" right="0.7" top="0.75" bottom="0.75" header="0.3" footer="0.3"/>
  <drawing r:id="rId5"/>
</worksheet>
</file>

<file path=xl/worksheets/sheet15.xml><?xml version="1.0" encoding="utf-8"?>
<worksheet xmlns="http://schemas.openxmlformats.org/spreadsheetml/2006/main" xmlns:r="http://schemas.openxmlformats.org/officeDocument/2006/relationships">
  <sheetPr codeName="Sheet14">
    <tabColor theme="9"/>
  </sheetPr>
  <dimension ref="B1:O29"/>
  <sheetViews>
    <sheetView topLeftCell="D1" workbookViewId="0">
      <selection activeCell="O17" sqref="O17"/>
    </sheetView>
  </sheetViews>
  <sheetFormatPr defaultRowHeight="15"/>
  <sheetData>
    <row r="1" spans="2:15">
      <c r="B1" s="1" t="s">
        <v>247</v>
      </c>
    </row>
    <row r="2" spans="2:15">
      <c r="B2" s="1" t="s">
        <v>248</v>
      </c>
    </row>
    <row r="3" spans="2:15">
      <c r="B3" s="1" t="s">
        <v>249</v>
      </c>
    </row>
    <row r="16" spans="2:15">
      <c r="O16">
        <f>1024*1.1*1000</f>
        <v>1126400</v>
      </c>
    </row>
    <row r="18" spans="3:9">
      <c r="F18" t="s">
        <v>238</v>
      </c>
      <c r="G18">
        <v>4.5</v>
      </c>
    </row>
    <row r="19" spans="3:9">
      <c r="C19" t="s">
        <v>234</v>
      </c>
      <c r="D19" t="s">
        <v>235</v>
      </c>
      <c r="F19" t="s">
        <v>239</v>
      </c>
      <c r="G19">
        <v>1200</v>
      </c>
    </row>
    <row r="20" spans="3:9">
      <c r="C20" t="s">
        <v>236</v>
      </c>
      <c r="D20" t="s">
        <v>237</v>
      </c>
      <c r="F20" t="s">
        <v>240</v>
      </c>
      <c r="G20">
        <v>2400</v>
      </c>
    </row>
    <row r="21" spans="3:9">
      <c r="F21" t="s">
        <v>241</v>
      </c>
      <c r="G21">
        <f>G19+G20</f>
        <v>3600</v>
      </c>
    </row>
    <row r="22" spans="3:9">
      <c r="F22" t="s">
        <v>242</v>
      </c>
      <c r="G22">
        <f>G18*G20/G21</f>
        <v>3</v>
      </c>
    </row>
    <row r="25" spans="3:9">
      <c r="F25" t="s">
        <v>243</v>
      </c>
      <c r="G25">
        <v>1023</v>
      </c>
      <c r="H25" t="s">
        <v>244</v>
      </c>
      <c r="I25">
        <v>3.3</v>
      </c>
    </row>
    <row r="27" spans="3:9">
      <c r="F27" t="s">
        <v>245</v>
      </c>
      <c r="G27">
        <v>703</v>
      </c>
      <c r="I27" s="16">
        <f>G27/G25*I25</f>
        <v>2.2677419354838708</v>
      </c>
    </row>
    <row r="29" spans="3:9">
      <c r="G29">
        <f>G27*3.3/1023*(3600/2400)</f>
        <v>3.4016129032258071</v>
      </c>
    </row>
  </sheetData>
  <hyperlinks>
    <hyperlink ref="B1" r:id="rId1"/>
    <hyperlink ref="B2" r:id="rId2"/>
    <hyperlink ref="B3" r:id="rId3"/>
  </hyperlinks>
  <pageMargins left="0.7" right="0.7" top="0.75" bottom="0.75" header="0.3" footer="0.3"/>
  <drawing r:id="rId4"/>
</worksheet>
</file>

<file path=xl/worksheets/sheet16.xml><?xml version="1.0" encoding="utf-8"?>
<worksheet xmlns="http://schemas.openxmlformats.org/spreadsheetml/2006/main" xmlns:r="http://schemas.openxmlformats.org/officeDocument/2006/relationships">
  <sheetPr codeName="Sheet15"/>
  <dimension ref="C2:AD6"/>
  <sheetViews>
    <sheetView workbookViewId="0">
      <selection activeCell="P3" sqref="P3:R3"/>
    </sheetView>
  </sheetViews>
  <sheetFormatPr defaultColWidth="2.85546875" defaultRowHeight="15"/>
  <cols>
    <col min="3" max="26" width="3.85546875" customWidth="1"/>
    <col min="30" max="30" width="9.85546875" customWidth="1"/>
  </cols>
  <sheetData>
    <row r="2" spans="3:30">
      <c r="C2" s="7">
        <v>23</v>
      </c>
      <c r="D2" s="8">
        <v>22</v>
      </c>
      <c r="E2" s="8">
        <v>21</v>
      </c>
      <c r="F2" s="8">
        <v>20</v>
      </c>
      <c r="G2" s="8">
        <v>19</v>
      </c>
      <c r="H2" s="8">
        <v>18</v>
      </c>
      <c r="I2" s="8">
        <v>17</v>
      </c>
      <c r="J2" s="9">
        <v>16</v>
      </c>
      <c r="K2" s="7">
        <v>15</v>
      </c>
      <c r="L2" s="8">
        <v>14</v>
      </c>
      <c r="M2" s="8">
        <v>13</v>
      </c>
      <c r="N2" s="8">
        <v>12</v>
      </c>
      <c r="O2" s="8">
        <v>11</v>
      </c>
      <c r="P2" s="8">
        <v>10</v>
      </c>
      <c r="Q2" s="8">
        <v>9</v>
      </c>
      <c r="R2" s="9">
        <v>8</v>
      </c>
      <c r="S2" s="7">
        <v>7</v>
      </c>
      <c r="T2" s="8">
        <v>6</v>
      </c>
      <c r="U2" s="8">
        <v>5</v>
      </c>
      <c r="V2" s="8">
        <v>4</v>
      </c>
      <c r="W2" s="8">
        <v>3</v>
      </c>
      <c r="X2" s="8">
        <v>2</v>
      </c>
      <c r="Y2" s="8">
        <v>1</v>
      </c>
      <c r="Z2" s="9">
        <v>0</v>
      </c>
    </row>
    <row r="3" spans="3:30">
      <c r="C3" s="10">
        <v>1</v>
      </c>
      <c r="D3" s="11">
        <v>0</v>
      </c>
      <c r="E3" s="11">
        <v>0</v>
      </c>
      <c r="F3" s="11">
        <v>1</v>
      </c>
      <c r="G3" s="11">
        <v>0</v>
      </c>
      <c r="H3" s="11">
        <v>1</v>
      </c>
      <c r="I3" s="11">
        <v>0</v>
      </c>
      <c r="J3" s="12">
        <v>0</v>
      </c>
      <c r="K3" s="10">
        <v>0</v>
      </c>
      <c r="L3" s="11">
        <v>0</v>
      </c>
      <c r="M3" s="11">
        <v>0</v>
      </c>
      <c r="N3" s="11">
        <v>0</v>
      </c>
      <c r="O3" s="11">
        <v>0</v>
      </c>
      <c r="P3" s="11">
        <v>1</v>
      </c>
      <c r="Q3" s="11">
        <v>1</v>
      </c>
      <c r="R3" s="12">
        <v>0</v>
      </c>
      <c r="S3" s="10">
        <v>0</v>
      </c>
      <c r="T3" s="11">
        <v>0</v>
      </c>
      <c r="U3" s="11">
        <v>0</v>
      </c>
      <c r="V3" s="11">
        <v>0</v>
      </c>
      <c r="W3" s="11">
        <v>1</v>
      </c>
      <c r="X3" s="11">
        <v>0</v>
      </c>
      <c r="Y3" s="11">
        <v>0</v>
      </c>
      <c r="Z3" s="12">
        <v>1</v>
      </c>
    </row>
    <row r="4" spans="3:30">
      <c r="C4" s="13">
        <f t="shared" ref="C4:Y4" si="0">IF(C3=1,2^C2,0)</f>
        <v>8388608</v>
      </c>
      <c r="D4" s="14">
        <f t="shared" si="0"/>
        <v>0</v>
      </c>
      <c r="E4" s="14">
        <f t="shared" si="0"/>
        <v>0</v>
      </c>
      <c r="F4" s="14">
        <f t="shared" si="0"/>
        <v>1048576</v>
      </c>
      <c r="G4" s="14">
        <f t="shared" si="0"/>
        <v>0</v>
      </c>
      <c r="H4" s="14">
        <f t="shared" si="0"/>
        <v>262144</v>
      </c>
      <c r="I4" s="14">
        <f t="shared" si="0"/>
        <v>0</v>
      </c>
      <c r="J4" s="15">
        <f t="shared" si="0"/>
        <v>0</v>
      </c>
      <c r="K4" s="13">
        <f t="shared" si="0"/>
        <v>0</v>
      </c>
      <c r="L4" s="14">
        <f t="shared" si="0"/>
        <v>0</v>
      </c>
      <c r="M4" s="14">
        <f t="shared" si="0"/>
        <v>0</v>
      </c>
      <c r="N4" s="14">
        <f t="shared" si="0"/>
        <v>0</v>
      </c>
      <c r="O4" s="14">
        <f t="shared" si="0"/>
        <v>0</v>
      </c>
      <c r="P4" s="14">
        <f t="shared" si="0"/>
        <v>1024</v>
      </c>
      <c r="Q4" s="14">
        <f t="shared" si="0"/>
        <v>512</v>
      </c>
      <c r="R4" s="15">
        <f t="shared" si="0"/>
        <v>0</v>
      </c>
      <c r="S4" s="13">
        <f t="shared" si="0"/>
        <v>0</v>
      </c>
      <c r="T4" s="14">
        <f t="shared" si="0"/>
        <v>0</v>
      </c>
      <c r="U4" s="14">
        <f t="shared" si="0"/>
        <v>0</v>
      </c>
      <c r="V4" s="14">
        <f t="shared" si="0"/>
        <v>0</v>
      </c>
      <c r="W4" s="14">
        <f t="shared" si="0"/>
        <v>8</v>
      </c>
      <c r="X4" s="14">
        <f t="shared" si="0"/>
        <v>0</v>
      </c>
      <c r="Y4" s="14">
        <f t="shared" si="0"/>
        <v>0</v>
      </c>
      <c r="Z4" s="15">
        <f>IF(Z3=1,2^Z2,0)</f>
        <v>1</v>
      </c>
      <c r="AD4">
        <f>SUM(C4:Z4)</f>
        <v>9700873</v>
      </c>
    </row>
    <row r="5" spans="3:30">
      <c r="C5" s="10">
        <v>0</v>
      </c>
      <c r="D5" s="11">
        <v>0</v>
      </c>
      <c r="E5" s="11">
        <v>0</v>
      </c>
      <c r="F5" s="11">
        <v>0</v>
      </c>
      <c r="G5" s="11">
        <v>0</v>
      </c>
      <c r="H5" s="11">
        <v>0</v>
      </c>
      <c r="I5" s="11">
        <f>A3</f>
        <v>0</v>
      </c>
      <c r="J5" s="12">
        <f>B3</f>
        <v>0</v>
      </c>
      <c r="K5" s="10">
        <f t="shared" ref="K5:Y5" si="1">D3</f>
        <v>0</v>
      </c>
      <c r="L5" s="11">
        <f t="shared" si="1"/>
        <v>0</v>
      </c>
      <c r="M5" s="11">
        <f t="shared" si="1"/>
        <v>1</v>
      </c>
      <c r="N5" s="11">
        <f t="shared" si="1"/>
        <v>0</v>
      </c>
      <c r="O5" s="11">
        <f t="shared" si="1"/>
        <v>1</v>
      </c>
      <c r="P5" s="11">
        <f t="shared" si="1"/>
        <v>0</v>
      </c>
      <c r="Q5" s="11">
        <f t="shared" si="1"/>
        <v>0</v>
      </c>
      <c r="R5" s="12">
        <f t="shared" si="1"/>
        <v>0</v>
      </c>
      <c r="S5" s="10">
        <f t="shared" si="1"/>
        <v>0</v>
      </c>
      <c r="T5" s="11">
        <f t="shared" si="1"/>
        <v>0</v>
      </c>
      <c r="U5" s="11">
        <f t="shared" si="1"/>
        <v>0</v>
      </c>
      <c r="V5" s="11">
        <f t="shared" si="1"/>
        <v>0</v>
      </c>
      <c r="W5" s="11">
        <f t="shared" si="1"/>
        <v>1</v>
      </c>
      <c r="X5" s="11">
        <f t="shared" si="1"/>
        <v>1</v>
      </c>
      <c r="Y5" s="11">
        <f t="shared" si="1"/>
        <v>0</v>
      </c>
      <c r="Z5" s="12">
        <f>S3</f>
        <v>0</v>
      </c>
    </row>
    <row r="6" spans="3:30">
      <c r="C6" s="13">
        <v>0</v>
      </c>
      <c r="D6" s="14">
        <v>0</v>
      </c>
      <c r="E6" s="14">
        <v>0</v>
      </c>
      <c r="F6" s="14">
        <v>0</v>
      </c>
      <c r="G6" s="14">
        <v>0</v>
      </c>
      <c r="H6" s="14">
        <v>0</v>
      </c>
      <c r="I6" s="14">
        <f t="shared" ref="I6:Z6" si="2">IF(I5=1,2^I2,0)</f>
        <v>0</v>
      </c>
      <c r="J6" s="15">
        <f t="shared" si="2"/>
        <v>0</v>
      </c>
      <c r="K6" s="13">
        <f t="shared" si="2"/>
        <v>0</v>
      </c>
      <c r="L6" s="14">
        <f t="shared" si="2"/>
        <v>0</v>
      </c>
      <c r="M6" s="14">
        <f t="shared" si="2"/>
        <v>8192</v>
      </c>
      <c r="N6" s="14">
        <f t="shared" si="2"/>
        <v>0</v>
      </c>
      <c r="O6" s="14">
        <f t="shared" si="2"/>
        <v>2048</v>
      </c>
      <c r="P6" s="14">
        <f t="shared" si="2"/>
        <v>0</v>
      </c>
      <c r="Q6" s="14">
        <f t="shared" si="2"/>
        <v>0</v>
      </c>
      <c r="R6" s="15">
        <f t="shared" si="2"/>
        <v>0</v>
      </c>
      <c r="S6" s="13">
        <f t="shared" si="2"/>
        <v>0</v>
      </c>
      <c r="T6" s="14">
        <f t="shared" si="2"/>
        <v>0</v>
      </c>
      <c r="U6" s="14">
        <f t="shared" si="2"/>
        <v>0</v>
      </c>
      <c r="V6" s="14">
        <f t="shared" si="2"/>
        <v>0</v>
      </c>
      <c r="W6" s="14">
        <f t="shared" si="2"/>
        <v>8</v>
      </c>
      <c r="X6" s="14">
        <f t="shared" si="2"/>
        <v>4</v>
      </c>
      <c r="Y6" s="14">
        <f t="shared" si="2"/>
        <v>0</v>
      </c>
      <c r="Z6" s="15">
        <f t="shared" si="2"/>
        <v>0</v>
      </c>
      <c r="AD6">
        <f>SUM(C6:Z6)</f>
        <v>10252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>
  <sheetPr codeName="Sheet16"/>
  <dimension ref="A2:U91"/>
  <sheetViews>
    <sheetView workbookViewId="0">
      <selection activeCell="S10" sqref="I10:S11"/>
    </sheetView>
  </sheetViews>
  <sheetFormatPr defaultColWidth="3.85546875" defaultRowHeight="15"/>
  <cols>
    <col min="1" max="1" width="10" bestFit="1" customWidth="1"/>
    <col min="2" max="2" width="5" bestFit="1" customWidth="1"/>
    <col min="6" max="6" width="14.28515625" customWidth="1"/>
    <col min="9" max="9" width="7.140625" bestFit="1" customWidth="1"/>
    <col min="10" max="10" width="4" bestFit="1" customWidth="1"/>
    <col min="18" max="18" width="4.42578125" bestFit="1" customWidth="1"/>
    <col min="19" max="19" width="5" bestFit="1" customWidth="1"/>
    <col min="20" max="20" width="15.85546875" customWidth="1"/>
    <col min="21" max="21" width="7.7109375" customWidth="1"/>
  </cols>
  <sheetData>
    <row r="2" spans="1:21">
      <c r="B2" t="s">
        <v>162</v>
      </c>
    </row>
    <row r="4" spans="1:21">
      <c r="B4">
        <v>0</v>
      </c>
      <c r="D4" t="s">
        <v>163</v>
      </c>
      <c r="G4" t="s">
        <v>164</v>
      </c>
    </row>
    <row r="5" spans="1:21">
      <c r="B5">
        <v>1</v>
      </c>
      <c r="D5" t="s">
        <v>165</v>
      </c>
      <c r="G5" t="s">
        <v>166</v>
      </c>
    </row>
    <row r="6" spans="1:21">
      <c r="B6">
        <v>2</v>
      </c>
      <c r="D6" t="s">
        <v>167</v>
      </c>
      <c r="G6" t="s">
        <v>168</v>
      </c>
      <c r="U6" s="3"/>
    </row>
    <row r="7" spans="1:21">
      <c r="B7">
        <v>3</v>
      </c>
      <c r="D7" t="s">
        <v>169</v>
      </c>
      <c r="G7" t="s">
        <v>170</v>
      </c>
      <c r="U7" s="3"/>
    </row>
    <row r="8" spans="1:21">
      <c r="B8">
        <v>4</v>
      </c>
      <c r="D8" t="s">
        <v>171</v>
      </c>
      <c r="G8" t="s">
        <v>170</v>
      </c>
      <c r="I8">
        <f>HEX2DEC(24)</f>
        <v>36</v>
      </c>
      <c r="U8" s="3"/>
    </row>
    <row r="9" spans="1:21">
      <c r="B9">
        <v>5</v>
      </c>
      <c r="D9" t="s">
        <v>172</v>
      </c>
      <c r="G9" t="s">
        <v>173</v>
      </c>
    </row>
    <row r="10" spans="1:21">
      <c r="B10">
        <v>6</v>
      </c>
      <c r="D10" t="s">
        <v>174</v>
      </c>
      <c r="G10" t="str">
        <f>S11</f>
        <v>0xFF</v>
      </c>
      <c r="I10" s="19">
        <v>1</v>
      </c>
      <c r="J10" s="19">
        <v>1</v>
      </c>
      <c r="K10" s="19">
        <v>1</v>
      </c>
      <c r="L10" s="19">
        <v>1</v>
      </c>
      <c r="M10" s="19">
        <v>1</v>
      </c>
      <c r="N10" s="19">
        <v>1</v>
      </c>
      <c r="O10" s="19">
        <v>1</v>
      </c>
      <c r="P10" s="19">
        <v>1</v>
      </c>
      <c r="Q10" s="19"/>
      <c r="R10" s="19" t="s">
        <v>158</v>
      </c>
      <c r="S10" s="20">
        <f>SUM(I11:P11)</f>
        <v>255</v>
      </c>
      <c r="T10" s="24"/>
      <c r="U10" s="3"/>
    </row>
    <row r="11" spans="1:21">
      <c r="I11" s="19">
        <f>IF(I10=1,2^7,0)</f>
        <v>128</v>
      </c>
      <c r="J11" s="19">
        <f>IF(J10=1,2^6,0)</f>
        <v>64</v>
      </c>
      <c r="K11" s="19">
        <f>IF(K10=1,2^5,0)</f>
        <v>32</v>
      </c>
      <c r="L11" s="19">
        <f>IF(L10=1,2^4,0)</f>
        <v>16</v>
      </c>
      <c r="M11" s="19">
        <f>IF(M10=1,2^3,0)</f>
        <v>8</v>
      </c>
      <c r="N11" s="19">
        <f>IF(N10=1,2^2,0)</f>
        <v>4</v>
      </c>
      <c r="O11" s="19">
        <f>IF(O10=1,2^1,0)</f>
        <v>2</v>
      </c>
      <c r="P11" s="19">
        <f>IF(P10=1,2^0,0)</f>
        <v>1</v>
      </c>
      <c r="Q11" s="19"/>
      <c r="R11" s="19" t="s">
        <v>159</v>
      </c>
      <c r="S11" s="20" t="str">
        <f>"0x" &amp; IF(LEN(DEC2HEX(S10))&lt;2,"0" &amp; DEC2HEX(S10),DEC2HEX(S10))</f>
        <v>0xFF</v>
      </c>
      <c r="T11" s="25" t="s">
        <v>211</v>
      </c>
      <c r="U11" s="3"/>
    </row>
    <row r="12" spans="1:21">
      <c r="B12">
        <v>7</v>
      </c>
      <c r="D12" t="s">
        <v>174</v>
      </c>
      <c r="G12" t="str">
        <f>S13</f>
        <v>0xFF</v>
      </c>
      <c r="I12" s="21">
        <v>1</v>
      </c>
      <c r="J12" s="21">
        <v>1</v>
      </c>
      <c r="K12" s="21">
        <v>1</v>
      </c>
      <c r="L12" s="21">
        <v>1</v>
      </c>
      <c r="M12" s="21">
        <v>1</v>
      </c>
      <c r="N12" s="21">
        <v>1</v>
      </c>
      <c r="O12" s="21">
        <v>1</v>
      </c>
      <c r="P12" s="21">
        <v>1</v>
      </c>
      <c r="Q12" s="21"/>
      <c r="R12" s="21" t="s">
        <v>158</v>
      </c>
      <c r="S12" s="22">
        <f>SUM(I13:P13)</f>
        <v>255</v>
      </c>
      <c r="T12" s="25"/>
      <c r="U12" s="3"/>
    </row>
    <row r="13" spans="1:21">
      <c r="I13" s="21">
        <f>IF(I12=1,2^7,0)</f>
        <v>128</v>
      </c>
      <c r="J13" s="21">
        <f>IF(J12=1,2^6,0)</f>
        <v>64</v>
      </c>
      <c r="K13" s="21">
        <f>IF(K12=1,2^5,0)</f>
        <v>32</v>
      </c>
      <c r="L13" s="21">
        <f>IF(L12=1,2^4,0)</f>
        <v>16</v>
      </c>
      <c r="M13" s="21">
        <f>IF(M12=1,2^3,0)</f>
        <v>8</v>
      </c>
      <c r="N13" s="21">
        <f>IF(N12=1,2^2,0)</f>
        <v>4</v>
      </c>
      <c r="O13" s="21">
        <f>IF(O12=1,2^1,0)</f>
        <v>2</v>
      </c>
      <c r="P13" s="21">
        <f>IF(P12=1,2^0,0)</f>
        <v>1</v>
      </c>
      <c r="Q13" s="21"/>
      <c r="R13" s="21" t="s">
        <v>159</v>
      </c>
      <c r="S13" s="22" t="str">
        <f>"0x" &amp; IF(LEN(DEC2HEX(S12))&lt;2,"0" &amp; DEC2HEX(S12),DEC2HEX(S12))</f>
        <v>0xFF</v>
      </c>
      <c r="T13" s="24"/>
    </row>
    <row r="14" spans="1:21">
      <c r="A14">
        <v>2</v>
      </c>
      <c r="B14">
        <v>8</v>
      </c>
      <c r="D14" t="s">
        <v>160</v>
      </c>
      <c r="G14" t="str">
        <f>S15</f>
        <v>0x06</v>
      </c>
      <c r="I14" s="19">
        <v>0</v>
      </c>
      <c r="J14" s="19">
        <v>0</v>
      </c>
      <c r="K14" s="19">
        <v>0</v>
      </c>
      <c r="L14" s="19">
        <v>0</v>
      </c>
      <c r="M14" s="19">
        <v>0</v>
      </c>
      <c r="N14" s="19">
        <v>1</v>
      </c>
      <c r="O14" s="19">
        <v>1</v>
      </c>
      <c r="P14" s="19">
        <v>0</v>
      </c>
      <c r="Q14" s="19"/>
      <c r="R14" s="19" t="s">
        <v>158</v>
      </c>
      <c r="S14" s="20">
        <f>SUM(I15:P15)</f>
        <v>6</v>
      </c>
      <c r="T14" s="26" t="s">
        <v>212</v>
      </c>
    </row>
    <row r="15" spans="1:21">
      <c r="I15" s="19">
        <f>IF(I14=1,2^7,0)</f>
        <v>0</v>
      </c>
      <c r="J15" s="19">
        <f>IF(J14=1,2^6,0)</f>
        <v>0</v>
      </c>
      <c r="K15" s="19">
        <f>IF(K14=1,2^5,0)</f>
        <v>0</v>
      </c>
      <c r="L15" s="19">
        <f>IF(L14=1,2^4,0)</f>
        <v>0</v>
      </c>
      <c r="M15" s="19">
        <f>IF(M14=1,2^3,0)</f>
        <v>0</v>
      </c>
      <c r="N15" s="19">
        <f>IF(N14=1,2^2,0)</f>
        <v>4</v>
      </c>
      <c r="O15" s="19">
        <f>IF(O14=1,2^1,0)</f>
        <v>2</v>
      </c>
      <c r="P15" s="19">
        <f>IF(P14=1,2^0,0)</f>
        <v>0</v>
      </c>
      <c r="Q15" s="19"/>
      <c r="R15" s="19" t="s">
        <v>159</v>
      </c>
      <c r="S15" s="20" t="str">
        <f>"0x" &amp; IF(LEN(DEC2HEX(S14))&lt;2,"0" &amp; DEC2HEX(S14),DEC2HEX(S14))</f>
        <v>0x06</v>
      </c>
      <c r="T15" s="26"/>
    </row>
    <row r="16" spans="1:21">
      <c r="A16">
        <f>A14+1</f>
        <v>3</v>
      </c>
      <c r="B16">
        <v>9</v>
      </c>
      <c r="D16" t="s">
        <v>161</v>
      </c>
      <c r="G16" t="str">
        <f>S17</f>
        <v>0x03</v>
      </c>
      <c r="I16" s="21">
        <v>0</v>
      </c>
      <c r="J16" s="21">
        <v>0</v>
      </c>
      <c r="K16" s="21">
        <v>0</v>
      </c>
      <c r="L16" s="21">
        <v>0</v>
      </c>
      <c r="M16" s="21">
        <v>0</v>
      </c>
      <c r="N16" s="21">
        <v>0</v>
      </c>
      <c r="O16" s="21">
        <v>1</v>
      </c>
      <c r="P16" s="21">
        <v>1</v>
      </c>
      <c r="Q16" s="21"/>
      <c r="R16" s="21" t="s">
        <v>158</v>
      </c>
      <c r="S16" s="22">
        <f>SUM(I17:P17)</f>
        <v>3</v>
      </c>
      <c r="T16" s="25" t="s">
        <v>213</v>
      </c>
    </row>
    <row r="17" spans="1:21">
      <c r="I17" s="21">
        <f>IF(I16=1,2^7,0)</f>
        <v>0</v>
      </c>
      <c r="J17" s="21">
        <f>IF(J16=1,2^6,0)</f>
        <v>0</v>
      </c>
      <c r="K17" s="21">
        <f>IF(K16=1,2^5,0)</f>
        <v>0</v>
      </c>
      <c r="L17" s="21">
        <f>IF(L16=1,2^4,0)</f>
        <v>0</v>
      </c>
      <c r="M17" s="21">
        <f>IF(M16=1,2^3,0)</f>
        <v>0</v>
      </c>
      <c r="N17" s="21">
        <f>IF(N16=1,2^2,0)</f>
        <v>0</v>
      </c>
      <c r="O17" s="21">
        <f>IF(O16=1,2^1,0)</f>
        <v>2</v>
      </c>
      <c r="P17" s="21">
        <f>IF(P16=1,2^0,0)</f>
        <v>1</v>
      </c>
      <c r="Q17" s="21"/>
      <c r="R17" s="21" t="s">
        <v>159</v>
      </c>
      <c r="S17" s="22" t="str">
        <f>"0x" &amp; IF(LEN(DEC2HEX(S16))&lt;2,"0" &amp; DEC2HEX(S16),DEC2HEX(S16))</f>
        <v>0x03</v>
      </c>
      <c r="T17" s="25"/>
      <c r="U17" s="3"/>
    </row>
    <row r="18" spans="1:21">
      <c r="A18">
        <f t="shared" ref="A18:A34" si="0">A16+1</f>
        <v>4</v>
      </c>
      <c r="B18">
        <v>10</v>
      </c>
      <c r="D18" t="s">
        <v>193</v>
      </c>
      <c r="G18" t="str">
        <f>S19</f>
        <v>0x00</v>
      </c>
      <c r="I18" s="19">
        <v>0</v>
      </c>
      <c r="J18" s="19">
        <v>0</v>
      </c>
      <c r="K18" s="19">
        <v>0</v>
      </c>
      <c r="L18" s="19">
        <v>0</v>
      </c>
      <c r="M18" s="19">
        <v>0</v>
      </c>
      <c r="N18" s="19">
        <v>0</v>
      </c>
      <c r="O18" s="19">
        <v>0</v>
      </c>
      <c r="P18" s="19">
        <v>0</v>
      </c>
      <c r="Q18" s="19"/>
      <c r="R18" s="19" t="s">
        <v>158</v>
      </c>
      <c r="S18" s="20">
        <f>SUM(I19:P19)</f>
        <v>0</v>
      </c>
      <c r="T18" s="27" t="s">
        <v>214</v>
      </c>
      <c r="U18" s="3"/>
    </row>
    <row r="19" spans="1:21">
      <c r="I19" s="19">
        <f>IF(I18=1,2^7,0)</f>
        <v>0</v>
      </c>
      <c r="J19" s="19">
        <f>IF(J18=1,2^6,0)</f>
        <v>0</v>
      </c>
      <c r="K19" s="19">
        <f>IF(K18=1,2^5,0)</f>
        <v>0</v>
      </c>
      <c r="L19" s="19">
        <f>IF(L18=1,2^4,0)</f>
        <v>0</v>
      </c>
      <c r="M19" s="19">
        <f>IF(M18=1,2^3,0)</f>
        <v>0</v>
      </c>
      <c r="N19" s="19">
        <f>IF(N18=1,2^2,0)</f>
        <v>0</v>
      </c>
      <c r="O19" s="19">
        <f>IF(O18=1,2^1,0)</f>
        <v>0</v>
      </c>
      <c r="P19" s="19">
        <f>IF(P18=1,2^0,0)</f>
        <v>0</v>
      </c>
      <c r="Q19" s="19"/>
      <c r="R19" s="19" t="s">
        <v>159</v>
      </c>
      <c r="S19" s="20" t="str">
        <f>"0x" &amp; IF(LEN(DEC2HEX(S18))&lt;2,"0" &amp; DEC2HEX(S18),DEC2HEX(S18))</f>
        <v>0x00</v>
      </c>
      <c r="T19" s="27"/>
      <c r="U19" s="3"/>
    </row>
    <row r="20" spans="1:21">
      <c r="A20">
        <f t="shared" si="0"/>
        <v>5</v>
      </c>
      <c r="B20">
        <v>11</v>
      </c>
      <c r="D20" t="s">
        <v>194</v>
      </c>
      <c r="G20" t="str">
        <f>S21</f>
        <v>0x00</v>
      </c>
      <c r="I20" s="21">
        <v>0</v>
      </c>
      <c r="J20" s="21">
        <v>0</v>
      </c>
      <c r="K20" s="21">
        <v>0</v>
      </c>
      <c r="L20" s="21">
        <v>0</v>
      </c>
      <c r="M20" s="21">
        <v>0</v>
      </c>
      <c r="N20" s="21">
        <v>0</v>
      </c>
      <c r="O20" s="21">
        <v>0</v>
      </c>
      <c r="P20" s="21">
        <v>0</v>
      </c>
      <c r="Q20" s="21"/>
      <c r="R20" s="21" t="s">
        <v>158</v>
      </c>
      <c r="S20" s="22">
        <f>SUM(I21:P21)</f>
        <v>0</v>
      </c>
      <c r="T20" s="27"/>
      <c r="U20" s="3"/>
    </row>
    <row r="21" spans="1:21">
      <c r="I21" s="21">
        <f>IF(I20=1,2^7,0)</f>
        <v>0</v>
      </c>
      <c r="J21" s="21">
        <f>IF(J20=1,2^6,0)</f>
        <v>0</v>
      </c>
      <c r="K21" s="21">
        <f>IF(K20=1,2^5,0)</f>
        <v>0</v>
      </c>
      <c r="L21" s="21">
        <f>IF(L20=1,2^4,0)</f>
        <v>0</v>
      </c>
      <c r="M21" s="21">
        <f>IF(M20=1,2^3,0)</f>
        <v>0</v>
      </c>
      <c r="N21" s="21">
        <f>IF(N20=1,2^2,0)</f>
        <v>0</v>
      </c>
      <c r="O21" s="21">
        <f>IF(O20=1,2^1,0)</f>
        <v>0</v>
      </c>
      <c r="P21" s="21">
        <f>IF(P20=1,2^0,0)</f>
        <v>0</v>
      </c>
      <c r="Q21" s="21"/>
      <c r="R21" s="21" t="s">
        <v>159</v>
      </c>
      <c r="S21" s="22" t="str">
        <f>"0x" &amp; IF(LEN(DEC2HEX(S20))&lt;2,"0" &amp; DEC2HEX(S20),DEC2HEX(S20))</f>
        <v>0x00</v>
      </c>
      <c r="T21" s="27"/>
    </row>
    <row r="22" spans="1:21">
      <c r="A22">
        <f t="shared" si="0"/>
        <v>6</v>
      </c>
      <c r="B22">
        <v>12</v>
      </c>
      <c r="D22" t="s">
        <v>195</v>
      </c>
      <c r="G22" t="str">
        <f>S23</f>
        <v>0x00</v>
      </c>
      <c r="I22" s="19">
        <v>0</v>
      </c>
      <c r="J22" s="19">
        <v>0</v>
      </c>
      <c r="K22" s="19">
        <v>0</v>
      </c>
      <c r="L22" s="19">
        <v>0</v>
      </c>
      <c r="M22" s="19">
        <v>0</v>
      </c>
      <c r="N22" s="19">
        <v>0</v>
      </c>
      <c r="O22" s="19">
        <v>0</v>
      </c>
      <c r="P22" s="19">
        <v>0</v>
      </c>
      <c r="Q22" s="19"/>
      <c r="R22" s="19" t="s">
        <v>158</v>
      </c>
      <c r="S22" s="20">
        <f>SUM(I23:P23)</f>
        <v>0</v>
      </c>
      <c r="T22" s="27"/>
    </row>
    <row r="23" spans="1:21">
      <c r="I23" s="19">
        <f>IF(I22=1,2^7,0)</f>
        <v>0</v>
      </c>
      <c r="J23" s="19">
        <f>IF(J22=1,2^6,0)</f>
        <v>0</v>
      </c>
      <c r="K23" s="19">
        <f>IF(K22=1,2^5,0)</f>
        <v>0</v>
      </c>
      <c r="L23" s="19">
        <f>IF(L22=1,2^4,0)</f>
        <v>0</v>
      </c>
      <c r="M23" s="19">
        <f>IF(M22=1,2^3,0)</f>
        <v>0</v>
      </c>
      <c r="N23" s="19">
        <f>IF(N22=1,2^2,0)</f>
        <v>0</v>
      </c>
      <c r="O23" s="19">
        <f>IF(O22=1,2^1,0)</f>
        <v>0</v>
      </c>
      <c r="P23" s="19">
        <f>IF(P22=1,2^0,0)</f>
        <v>0</v>
      </c>
      <c r="Q23" s="19"/>
      <c r="R23" s="19" t="s">
        <v>159</v>
      </c>
      <c r="S23" s="20" t="str">
        <f>"0x" &amp; IF(LEN(DEC2HEX(S22))&lt;2,"0" &amp; DEC2HEX(S22),DEC2HEX(S22))</f>
        <v>0x00</v>
      </c>
      <c r="T23" s="27"/>
    </row>
    <row r="24" spans="1:21">
      <c r="A24">
        <f t="shared" si="0"/>
        <v>7</v>
      </c>
      <c r="B24">
        <v>13</v>
      </c>
      <c r="D24" t="s">
        <v>196</v>
      </c>
      <c r="G24" t="str">
        <f>S25</f>
        <v>0x00</v>
      </c>
      <c r="I24" s="21">
        <v>0</v>
      </c>
      <c r="J24" s="21">
        <v>0</v>
      </c>
      <c r="K24" s="21">
        <v>0</v>
      </c>
      <c r="L24" s="21">
        <v>0</v>
      </c>
      <c r="M24" s="21">
        <v>0</v>
      </c>
      <c r="N24" s="21">
        <v>0</v>
      </c>
      <c r="O24" s="21">
        <v>0</v>
      </c>
      <c r="P24" s="21">
        <v>0</v>
      </c>
      <c r="Q24" s="21"/>
      <c r="R24" s="21" t="s">
        <v>158</v>
      </c>
      <c r="S24" s="22">
        <f>SUM(I25:P25)</f>
        <v>0</v>
      </c>
      <c r="T24" s="27"/>
    </row>
    <row r="25" spans="1:21">
      <c r="I25" s="21">
        <f>IF(I24=1,2^7,0)</f>
        <v>0</v>
      </c>
      <c r="J25" s="21">
        <f>IF(J24=1,2^6,0)</f>
        <v>0</v>
      </c>
      <c r="K25" s="21">
        <f>IF(K24=1,2^5,0)</f>
        <v>0</v>
      </c>
      <c r="L25" s="21">
        <f>IF(L24=1,2^4,0)</f>
        <v>0</v>
      </c>
      <c r="M25" s="21">
        <f>IF(M24=1,2^3,0)</f>
        <v>0</v>
      </c>
      <c r="N25" s="21">
        <f>IF(N24=1,2^2,0)</f>
        <v>0</v>
      </c>
      <c r="O25" s="21">
        <f>IF(O24=1,2^1,0)</f>
        <v>0</v>
      </c>
      <c r="P25" s="21">
        <f>IF(P24=1,2^0,0)</f>
        <v>0</v>
      </c>
      <c r="Q25" s="21"/>
      <c r="R25" s="21" t="s">
        <v>159</v>
      </c>
      <c r="S25" s="22" t="str">
        <f>"0x" &amp; IF(LEN(DEC2HEX(S24))&lt;2,"0" &amp; DEC2HEX(S24),DEC2HEX(S24))</f>
        <v>0x00</v>
      </c>
      <c r="T25" s="27"/>
    </row>
    <row r="26" spans="1:21">
      <c r="A26">
        <f t="shared" si="0"/>
        <v>8</v>
      </c>
      <c r="B26">
        <v>14</v>
      </c>
      <c r="D26" t="s">
        <v>200</v>
      </c>
      <c r="G26" t="str">
        <f>S27</f>
        <v>0x10</v>
      </c>
      <c r="I26" s="19">
        <v>0</v>
      </c>
      <c r="J26" s="19">
        <v>0</v>
      </c>
      <c r="K26" s="19">
        <v>0</v>
      </c>
      <c r="L26" s="19">
        <v>1</v>
      </c>
      <c r="M26" s="19">
        <v>0</v>
      </c>
      <c r="N26" s="19">
        <v>0</v>
      </c>
      <c r="O26" s="19">
        <v>0</v>
      </c>
      <c r="P26" s="19">
        <v>0</v>
      </c>
      <c r="Q26" s="19"/>
      <c r="R26" s="19" t="s">
        <v>158</v>
      </c>
      <c r="S26" s="20">
        <f>SUM(I27:P27)</f>
        <v>16</v>
      </c>
      <c r="T26" s="28" t="s">
        <v>215</v>
      </c>
    </row>
    <row r="27" spans="1:21">
      <c r="I27" s="19">
        <f>IF(I26=1,2^7,0)</f>
        <v>0</v>
      </c>
      <c r="J27" s="19">
        <f>IF(J26=1,2^6,0)</f>
        <v>0</v>
      </c>
      <c r="K27" s="19">
        <f>IF(K26=1,2^5,0)</f>
        <v>0</v>
      </c>
      <c r="L27" s="19">
        <f>IF(L26=1,2^4,0)</f>
        <v>16</v>
      </c>
      <c r="M27" s="19">
        <f>IF(M26=1,2^3,0)</f>
        <v>0</v>
      </c>
      <c r="N27" s="19">
        <f>IF(N26=1,2^2,0)</f>
        <v>0</v>
      </c>
      <c r="O27" s="19">
        <f>IF(O26=1,2^1,0)</f>
        <v>0</v>
      </c>
      <c r="P27" s="19">
        <f>IF(P26=1,2^0,0)</f>
        <v>0</v>
      </c>
      <c r="Q27" s="19"/>
      <c r="R27" s="19" t="s">
        <v>159</v>
      </c>
      <c r="S27" s="20" t="str">
        <f>"0x" &amp; IF(LEN(DEC2HEX(S26))&lt;2,"0" &amp; DEC2HEX(S26),DEC2HEX(S26))</f>
        <v>0x10</v>
      </c>
      <c r="T27" s="28"/>
    </row>
    <row r="28" spans="1:21">
      <c r="A28">
        <f t="shared" si="0"/>
        <v>9</v>
      </c>
      <c r="B28">
        <v>15</v>
      </c>
      <c r="D28" t="s">
        <v>197</v>
      </c>
      <c r="G28" t="str">
        <f>S29</f>
        <v>0x27</v>
      </c>
      <c r="I28" s="21">
        <v>0</v>
      </c>
      <c r="J28" s="21">
        <v>0</v>
      </c>
      <c r="K28" s="21">
        <v>1</v>
      </c>
      <c r="L28" s="21">
        <v>0</v>
      </c>
      <c r="M28" s="21">
        <v>0</v>
      </c>
      <c r="N28" s="21">
        <v>1</v>
      </c>
      <c r="O28" s="21">
        <v>1</v>
      </c>
      <c r="P28" s="21">
        <v>1</v>
      </c>
      <c r="Q28" s="21"/>
      <c r="R28" s="21" t="s">
        <v>158</v>
      </c>
      <c r="S28" s="22">
        <f>SUM(I29:P29)</f>
        <v>39</v>
      </c>
      <c r="T28" s="28"/>
    </row>
    <row r="29" spans="1:21">
      <c r="I29" s="21">
        <f>IF(I28=1,2^7,0)</f>
        <v>0</v>
      </c>
      <c r="J29" s="21">
        <f>IF(J28=1,2^6,0)</f>
        <v>0</v>
      </c>
      <c r="K29" s="21">
        <f>IF(K28=1,2^5,0)</f>
        <v>32</v>
      </c>
      <c r="L29" s="21">
        <f>IF(L28=1,2^4,0)</f>
        <v>0</v>
      </c>
      <c r="M29" s="21">
        <f>IF(M28=1,2^3,0)</f>
        <v>0</v>
      </c>
      <c r="N29" s="21">
        <f>IF(N28=1,2^2,0)</f>
        <v>4</v>
      </c>
      <c r="O29" s="21">
        <f>IF(O28=1,2^1,0)</f>
        <v>2</v>
      </c>
      <c r="P29" s="21">
        <f>IF(P28=1,2^0,0)</f>
        <v>1</v>
      </c>
      <c r="Q29" s="21"/>
      <c r="R29" s="21" t="s">
        <v>159</v>
      </c>
      <c r="S29" s="22" t="str">
        <f>"0x" &amp; IF(LEN(DEC2HEX(S28))&lt;2,"0" &amp; DEC2HEX(S28),DEC2HEX(S28))</f>
        <v>0x27</v>
      </c>
      <c r="T29" s="28"/>
    </row>
    <row r="30" spans="1:21">
      <c r="A30">
        <f t="shared" si="0"/>
        <v>10</v>
      </c>
      <c r="B30">
        <v>16</v>
      </c>
      <c r="D30" t="s">
        <v>198</v>
      </c>
      <c r="G30" t="str">
        <f>S31</f>
        <v>0x00</v>
      </c>
      <c r="I30" s="19">
        <v>0</v>
      </c>
      <c r="J30" s="19">
        <v>0</v>
      </c>
      <c r="K30" s="19">
        <v>0</v>
      </c>
      <c r="L30" s="19">
        <v>0</v>
      </c>
      <c r="M30" s="19">
        <v>0</v>
      </c>
      <c r="N30" s="19">
        <v>0</v>
      </c>
      <c r="O30" s="19">
        <v>0</v>
      </c>
      <c r="P30" s="19">
        <v>0</v>
      </c>
      <c r="Q30" s="19"/>
      <c r="R30" s="19" t="s">
        <v>158</v>
      </c>
      <c r="S30" s="20">
        <f>SUM(I31:P31)</f>
        <v>0</v>
      </c>
      <c r="T30" s="28"/>
    </row>
    <row r="31" spans="1:21">
      <c r="I31" s="19">
        <f>IF(I30=1,2^7,0)</f>
        <v>0</v>
      </c>
      <c r="J31" s="19">
        <f>IF(J30=1,2^6,0)</f>
        <v>0</v>
      </c>
      <c r="K31" s="19">
        <f>IF(K30=1,2^5,0)</f>
        <v>0</v>
      </c>
      <c r="L31" s="19">
        <f>IF(L30=1,2^4,0)</f>
        <v>0</v>
      </c>
      <c r="M31" s="19">
        <f>IF(M30=1,2^3,0)</f>
        <v>0</v>
      </c>
      <c r="N31" s="19">
        <f>IF(N30=1,2^2,0)</f>
        <v>0</v>
      </c>
      <c r="O31" s="19">
        <f>IF(O30=1,2^1,0)</f>
        <v>0</v>
      </c>
      <c r="P31" s="19">
        <f>IF(P30=1,2^0,0)</f>
        <v>0</v>
      </c>
      <c r="Q31" s="19"/>
      <c r="R31" s="19" t="s">
        <v>159</v>
      </c>
      <c r="S31" s="20" t="str">
        <f>"0x" &amp; IF(LEN(DEC2HEX(S30))&lt;2,"0" &amp; DEC2HEX(S30),DEC2HEX(S30))</f>
        <v>0x00</v>
      </c>
      <c r="T31" s="28"/>
    </row>
    <row r="32" spans="1:21">
      <c r="A32">
        <f t="shared" si="0"/>
        <v>11</v>
      </c>
      <c r="B32">
        <v>17</v>
      </c>
      <c r="D32" t="s">
        <v>199</v>
      </c>
      <c r="G32" t="str">
        <f>S33</f>
        <v>0x00</v>
      </c>
      <c r="I32" s="21">
        <v>0</v>
      </c>
      <c r="J32" s="21">
        <v>0</v>
      </c>
      <c r="K32" s="21">
        <v>0</v>
      </c>
      <c r="L32" s="21">
        <v>0</v>
      </c>
      <c r="M32" s="21">
        <v>0</v>
      </c>
      <c r="N32" s="21">
        <v>0</v>
      </c>
      <c r="O32" s="21">
        <v>0</v>
      </c>
      <c r="P32" s="21">
        <v>0</v>
      </c>
      <c r="Q32" s="21"/>
      <c r="R32" s="21" t="s">
        <v>158</v>
      </c>
      <c r="S32" s="22">
        <f>SUM(I33:P33)</f>
        <v>0</v>
      </c>
      <c r="T32" s="28"/>
    </row>
    <row r="33" spans="1:20">
      <c r="I33" s="21">
        <f>IF(I32=1,2^7,0)</f>
        <v>0</v>
      </c>
      <c r="J33" s="21">
        <f>IF(J32=1,2^6,0)</f>
        <v>0</v>
      </c>
      <c r="K33" s="21">
        <f>IF(K32=1,2^5,0)</f>
        <v>0</v>
      </c>
      <c r="L33" s="21">
        <f>IF(L32=1,2^4,0)</f>
        <v>0</v>
      </c>
      <c r="M33" s="21">
        <f>IF(M32=1,2^3,0)</f>
        <v>0</v>
      </c>
      <c r="N33" s="21">
        <f>IF(N32=1,2^2,0)</f>
        <v>0</v>
      </c>
      <c r="O33" s="21">
        <f>IF(O32=1,2^1,0)</f>
        <v>0</v>
      </c>
      <c r="P33" s="21">
        <f>IF(P32=1,2^0,0)</f>
        <v>0</v>
      </c>
      <c r="Q33" s="21"/>
      <c r="R33" s="21" t="s">
        <v>159</v>
      </c>
      <c r="S33" s="22" t="str">
        <f>"0x" &amp; IF(LEN(DEC2HEX(S32))&lt;2,"0" &amp; DEC2HEX(S32),DEC2HEX(S32))</f>
        <v>0x00</v>
      </c>
      <c r="T33" s="28"/>
    </row>
    <row r="34" spans="1:20">
      <c r="A34">
        <f t="shared" si="0"/>
        <v>12</v>
      </c>
      <c r="B34">
        <v>18</v>
      </c>
      <c r="D34" t="s">
        <v>175</v>
      </c>
      <c r="G34" t="str">
        <f>S35</f>
        <v>0x05</v>
      </c>
      <c r="I34" s="19">
        <v>0</v>
      </c>
      <c r="J34" s="19">
        <v>0</v>
      </c>
      <c r="K34" s="19">
        <v>0</v>
      </c>
      <c r="L34" s="19">
        <v>0</v>
      </c>
      <c r="M34" s="19">
        <v>0</v>
      </c>
      <c r="N34" s="19">
        <v>1</v>
      </c>
      <c r="O34" s="19">
        <v>0</v>
      </c>
      <c r="P34" s="19">
        <v>1</v>
      </c>
      <c r="Q34" s="19"/>
      <c r="R34" s="19" t="s">
        <v>158</v>
      </c>
      <c r="S34" s="20">
        <f>SUM(I35:P35)</f>
        <v>5</v>
      </c>
      <c r="T34" s="27" t="s">
        <v>216</v>
      </c>
    </row>
    <row r="35" spans="1:20">
      <c r="I35" s="19">
        <f>IF(I34=1,2^7,0)</f>
        <v>0</v>
      </c>
      <c r="J35" s="19">
        <f>IF(J34=1,2^6,0)</f>
        <v>0</v>
      </c>
      <c r="K35" s="19">
        <f>IF(K34=1,2^5,0)</f>
        <v>0</v>
      </c>
      <c r="L35" s="19">
        <f>IF(L34=1,2^4,0)</f>
        <v>0</v>
      </c>
      <c r="M35" s="19">
        <f>IF(M34=1,2^3,0)</f>
        <v>0</v>
      </c>
      <c r="N35" s="19">
        <f>IF(N34=1,2^2,0)</f>
        <v>4</v>
      </c>
      <c r="O35" s="19">
        <f>IF(O34=1,2^1,0)</f>
        <v>0</v>
      </c>
      <c r="P35" s="19">
        <f>IF(P34=1,2^0,0)</f>
        <v>1</v>
      </c>
      <c r="Q35" s="19"/>
      <c r="R35" s="19" t="s">
        <v>159</v>
      </c>
      <c r="S35" s="20" t="str">
        <f>"0x" &amp; IF(LEN(DEC2HEX(S34))&lt;2,"0" &amp; DEC2HEX(S34),DEC2HEX(S34))</f>
        <v>0x05</v>
      </c>
      <c r="T35" s="27"/>
    </row>
    <row r="36" spans="1:20">
      <c r="A36">
        <f>A34+1</f>
        <v>13</v>
      </c>
      <c r="B36">
        <v>19</v>
      </c>
      <c r="D36" t="s">
        <v>176</v>
      </c>
      <c r="G36" t="str">
        <f>S37</f>
        <v>0x00</v>
      </c>
      <c r="I36" s="21">
        <v>0</v>
      </c>
      <c r="J36" s="21">
        <v>0</v>
      </c>
      <c r="K36" s="21">
        <v>0</v>
      </c>
      <c r="L36" s="21">
        <v>0</v>
      </c>
      <c r="M36" s="21">
        <v>0</v>
      </c>
      <c r="N36" s="21">
        <v>0</v>
      </c>
      <c r="O36" s="21">
        <v>0</v>
      </c>
      <c r="P36" s="21">
        <v>0</v>
      </c>
      <c r="Q36" s="21"/>
      <c r="R36" s="21" t="s">
        <v>158</v>
      </c>
      <c r="S36" s="22">
        <f>SUM(I37:P37)</f>
        <v>0</v>
      </c>
      <c r="T36" s="18" t="s">
        <v>216</v>
      </c>
    </row>
    <row r="37" spans="1:20">
      <c r="I37" s="21">
        <f>IF(I36=1,2^7,0)</f>
        <v>0</v>
      </c>
      <c r="J37" s="21">
        <f>IF(J36=1,2^6,0)</f>
        <v>0</v>
      </c>
      <c r="K37" s="21">
        <f>IF(K36=1,2^5,0)</f>
        <v>0</v>
      </c>
      <c r="L37" s="21">
        <f>IF(L36=1,2^4,0)</f>
        <v>0</v>
      </c>
      <c r="M37" s="21">
        <f>IF(M36=1,2^3,0)</f>
        <v>0</v>
      </c>
      <c r="N37" s="21">
        <f>IF(N36=1,2^2,0)</f>
        <v>0</v>
      </c>
      <c r="O37" s="21">
        <f>IF(O36=1,2^1,0)</f>
        <v>0</v>
      </c>
      <c r="P37" s="21">
        <f>IF(P36=1,2^0,0)</f>
        <v>0</v>
      </c>
      <c r="Q37" s="21"/>
      <c r="R37" s="21" t="s">
        <v>159</v>
      </c>
      <c r="S37" s="22" t="str">
        <f>"0x" &amp; IF(LEN(DEC2HEX(S36))&lt;2,"0" &amp; DEC2HEX(S36),DEC2HEX(S36))</f>
        <v>0x00</v>
      </c>
      <c r="T37" s="18"/>
    </row>
    <row r="38" spans="1:20">
      <c r="A38">
        <f>A36+1</f>
        <v>14</v>
      </c>
      <c r="B38">
        <v>20</v>
      </c>
      <c r="D38" t="s">
        <v>177</v>
      </c>
      <c r="G38" t="str">
        <f>S39</f>
        <v>0xFA</v>
      </c>
      <c r="I38" s="19">
        <v>1</v>
      </c>
      <c r="J38" s="19">
        <v>1</v>
      </c>
      <c r="K38" s="19">
        <v>1</v>
      </c>
      <c r="L38" s="19">
        <v>1</v>
      </c>
      <c r="M38" s="19">
        <v>1</v>
      </c>
      <c r="N38" s="19">
        <v>0</v>
      </c>
      <c r="O38" s="19">
        <v>1</v>
      </c>
      <c r="P38" s="19">
        <v>0</v>
      </c>
      <c r="Q38" s="19"/>
      <c r="R38" s="19" t="s">
        <v>158</v>
      </c>
      <c r="S38" s="20">
        <f>SUM(I39:P39)</f>
        <v>250</v>
      </c>
    </row>
    <row r="39" spans="1:20">
      <c r="I39" s="19">
        <f>IF(I38=1,2^7,0)</f>
        <v>128</v>
      </c>
      <c r="J39" s="19">
        <f>IF(J38=1,2^6,0)</f>
        <v>64</v>
      </c>
      <c r="K39" s="19">
        <f>IF(K38=1,2^5,0)</f>
        <v>32</v>
      </c>
      <c r="L39" s="19">
        <f>IF(L38=1,2^4,0)</f>
        <v>16</v>
      </c>
      <c r="M39" s="19">
        <f>IF(M38=1,2^3,0)</f>
        <v>8</v>
      </c>
      <c r="N39" s="19">
        <f>IF(N38=1,2^2,0)</f>
        <v>0</v>
      </c>
      <c r="O39" s="19">
        <f>IF(O38=1,2^1,0)</f>
        <v>2</v>
      </c>
      <c r="P39" s="19">
        <f>IF(P38=1,2^0,0)</f>
        <v>0</v>
      </c>
      <c r="Q39" s="19"/>
      <c r="R39" s="19" t="s">
        <v>159</v>
      </c>
      <c r="S39" s="20" t="str">
        <f>"0x" &amp; IF(LEN(DEC2HEX(S38))&lt;2,"0" &amp; DEC2HEX(S38),DEC2HEX(S38))</f>
        <v>0xFA</v>
      </c>
    </row>
    <row r="40" spans="1:20">
      <c r="A40">
        <f>A38+1</f>
        <v>15</v>
      </c>
      <c r="B40">
        <v>21</v>
      </c>
      <c r="D40" t="s">
        <v>178</v>
      </c>
      <c r="G40" t="str">
        <f>S41</f>
        <v>0x00</v>
      </c>
      <c r="I40" s="21">
        <v>0</v>
      </c>
      <c r="J40" s="21">
        <v>0</v>
      </c>
      <c r="K40" s="21">
        <v>0</v>
      </c>
      <c r="L40" s="21">
        <v>0</v>
      </c>
      <c r="M40" s="21">
        <v>0</v>
      </c>
      <c r="N40" s="21">
        <v>0</v>
      </c>
      <c r="O40" s="21">
        <v>0</v>
      </c>
      <c r="P40" s="21">
        <v>0</v>
      </c>
      <c r="Q40" s="21"/>
      <c r="R40" s="21" t="s">
        <v>158</v>
      </c>
      <c r="S40" s="22">
        <f>SUM(I41:P41)</f>
        <v>0</v>
      </c>
    </row>
    <row r="41" spans="1:20">
      <c r="I41" s="21">
        <f>IF(I40=1,2^7,0)</f>
        <v>0</v>
      </c>
      <c r="J41" s="21">
        <f>IF(J40=1,2^6,0)</f>
        <v>0</v>
      </c>
      <c r="K41" s="21">
        <f>IF(K40=1,2^5,0)</f>
        <v>0</v>
      </c>
      <c r="L41" s="21">
        <f>IF(L40=1,2^4,0)</f>
        <v>0</v>
      </c>
      <c r="M41" s="21">
        <f>IF(M40=1,2^3,0)</f>
        <v>0</v>
      </c>
      <c r="N41" s="21">
        <f>IF(N40=1,2^2,0)</f>
        <v>0</v>
      </c>
      <c r="O41" s="21">
        <f>IF(O40=1,2^1,0)</f>
        <v>0</v>
      </c>
      <c r="P41" s="21">
        <f>IF(P40=1,2^0,0)</f>
        <v>0</v>
      </c>
      <c r="Q41" s="21"/>
      <c r="R41" s="21" t="s">
        <v>159</v>
      </c>
      <c r="S41" s="22" t="str">
        <f>"0x" &amp; IF(LEN(DEC2HEX(S40))&lt;2,"0" &amp; DEC2HEX(S40),DEC2HEX(S40))</f>
        <v>0x00</v>
      </c>
    </row>
    <row r="42" spans="1:20">
      <c r="A42">
        <f>A40+1</f>
        <v>16</v>
      </c>
      <c r="B42">
        <v>22</v>
      </c>
      <c r="D42" t="s">
        <v>179</v>
      </c>
      <c r="G42" t="str">
        <f>S43</f>
        <v>0xFA</v>
      </c>
      <c r="I42" s="19">
        <v>1</v>
      </c>
      <c r="J42" s="19">
        <v>1</v>
      </c>
      <c r="K42" s="19">
        <v>1</v>
      </c>
      <c r="L42" s="19">
        <v>1</v>
      </c>
      <c r="M42" s="19">
        <v>1</v>
      </c>
      <c r="N42" s="19">
        <v>0</v>
      </c>
      <c r="O42" s="19">
        <v>1</v>
      </c>
      <c r="P42" s="19">
        <v>0</v>
      </c>
      <c r="Q42" s="19"/>
      <c r="R42" s="19" t="s">
        <v>158</v>
      </c>
      <c r="S42" s="20">
        <f>SUM(I43:P43)</f>
        <v>250</v>
      </c>
    </row>
    <row r="43" spans="1:20">
      <c r="I43" s="19">
        <f>IF(I42=1,2^7,0)</f>
        <v>128</v>
      </c>
      <c r="J43" s="19">
        <f>IF(J42=1,2^6,0)</f>
        <v>64</v>
      </c>
      <c r="K43" s="19">
        <f>IF(K42=1,2^5,0)</f>
        <v>32</v>
      </c>
      <c r="L43" s="19">
        <f>IF(L42=1,2^4,0)</f>
        <v>16</v>
      </c>
      <c r="M43" s="19">
        <f>IF(M42=1,2^3,0)</f>
        <v>8</v>
      </c>
      <c r="N43" s="19">
        <f>IF(N42=1,2^2,0)</f>
        <v>0</v>
      </c>
      <c r="O43" s="19">
        <f>IF(O42=1,2^1,0)</f>
        <v>2</v>
      </c>
      <c r="P43" s="19">
        <f>IF(P42=1,2^0,0)</f>
        <v>0</v>
      </c>
      <c r="Q43" s="19"/>
      <c r="R43" s="19" t="s">
        <v>159</v>
      </c>
      <c r="S43" s="20" t="str">
        <f>"0x" &amp; IF(LEN(DEC2HEX(S42))&lt;2,"0" &amp; DEC2HEX(S42),DEC2HEX(S42))</f>
        <v>0xFA</v>
      </c>
    </row>
    <row r="44" spans="1:20">
      <c r="A44">
        <f>A42+1</f>
        <v>17</v>
      </c>
      <c r="B44">
        <v>23</v>
      </c>
      <c r="D44" t="s">
        <v>180</v>
      </c>
      <c r="G44" t="str">
        <f>S45</f>
        <v>0x00</v>
      </c>
      <c r="I44" s="21">
        <v>0</v>
      </c>
      <c r="J44" s="21">
        <v>0</v>
      </c>
      <c r="K44" s="21">
        <v>0</v>
      </c>
      <c r="L44" s="21">
        <v>0</v>
      </c>
      <c r="M44" s="21">
        <v>0</v>
      </c>
      <c r="N44" s="21">
        <v>0</v>
      </c>
      <c r="O44" s="21">
        <v>0</v>
      </c>
      <c r="P44" s="21">
        <v>0</v>
      </c>
      <c r="Q44" s="21"/>
      <c r="R44" s="21" t="s">
        <v>158</v>
      </c>
      <c r="S44" s="22">
        <f>SUM(I45:P45)</f>
        <v>0</v>
      </c>
    </row>
    <row r="45" spans="1:20">
      <c r="I45" s="21">
        <f>IF(I44=1,2^7,0)</f>
        <v>0</v>
      </c>
      <c r="J45" s="21">
        <f>IF(J44=1,2^6,0)</f>
        <v>0</v>
      </c>
      <c r="K45" s="21">
        <f>IF(K44=1,2^5,0)</f>
        <v>0</v>
      </c>
      <c r="L45" s="21">
        <f>IF(L44=1,2^4,0)</f>
        <v>0</v>
      </c>
      <c r="M45" s="21">
        <f>IF(M44=1,2^3,0)</f>
        <v>0</v>
      </c>
      <c r="N45" s="21">
        <f>IF(N44=1,2^2,0)</f>
        <v>0</v>
      </c>
      <c r="O45" s="21">
        <f>IF(O44=1,2^1,0)</f>
        <v>0</v>
      </c>
      <c r="P45" s="21">
        <f>IF(P44=1,2^0,0)</f>
        <v>0</v>
      </c>
      <c r="Q45" s="21"/>
      <c r="R45" s="21" t="s">
        <v>159</v>
      </c>
      <c r="S45" s="22" t="str">
        <f>"0x" &amp; IF(LEN(DEC2HEX(S44))&lt;2,"0" &amp; DEC2HEX(S44),DEC2HEX(S44))</f>
        <v>0x00</v>
      </c>
    </row>
    <row r="46" spans="1:20">
      <c r="A46">
        <f>A44+1</f>
        <v>18</v>
      </c>
      <c r="B46">
        <v>24</v>
      </c>
      <c r="D46" t="s">
        <v>181</v>
      </c>
      <c r="G46" t="str">
        <f>S47</f>
        <v>0x64</v>
      </c>
      <c r="I46" s="19">
        <v>0</v>
      </c>
      <c r="J46" s="19">
        <v>1</v>
      </c>
      <c r="K46" s="19">
        <v>1</v>
      </c>
      <c r="L46" s="19">
        <v>0</v>
      </c>
      <c r="M46" s="19">
        <v>0</v>
      </c>
      <c r="N46" s="19">
        <v>1</v>
      </c>
      <c r="O46" s="19">
        <v>0</v>
      </c>
      <c r="P46" s="19">
        <v>0</v>
      </c>
      <c r="Q46" s="19"/>
      <c r="R46" s="19" t="s">
        <v>158</v>
      </c>
      <c r="S46" s="20">
        <f>SUM(I47:P47)</f>
        <v>100</v>
      </c>
    </row>
    <row r="47" spans="1:20">
      <c r="I47" s="19">
        <f>IF(I46=1,2^7,0)</f>
        <v>0</v>
      </c>
      <c r="J47" s="19">
        <f>IF(J46=1,2^6,0)</f>
        <v>64</v>
      </c>
      <c r="K47" s="19">
        <f>IF(K46=1,2^5,0)</f>
        <v>32</v>
      </c>
      <c r="L47" s="19">
        <f>IF(L46=1,2^4,0)</f>
        <v>0</v>
      </c>
      <c r="M47" s="19">
        <f>IF(M46=1,2^3,0)</f>
        <v>0</v>
      </c>
      <c r="N47" s="19">
        <f>IF(N46=1,2^2,0)</f>
        <v>4</v>
      </c>
      <c r="O47" s="19">
        <f>IF(O46=1,2^1,0)</f>
        <v>0</v>
      </c>
      <c r="P47" s="19">
        <f>IF(P46=1,2^0,0)</f>
        <v>0</v>
      </c>
      <c r="Q47" s="19"/>
      <c r="R47" s="19" t="s">
        <v>159</v>
      </c>
      <c r="S47" s="20" t="str">
        <f>"0x" &amp; IF(LEN(DEC2HEX(S46))&lt;2,"0" &amp; DEC2HEX(S46),DEC2HEX(S46))</f>
        <v>0x64</v>
      </c>
    </row>
    <row r="48" spans="1:20">
      <c r="A48">
        <f>A46+1</f>
        <v>19</v>
      </c>
      <c r="B48">
        <v>25</v>
      </c>
      <c r="D48" t="s">
        <v>182</v>
      </c>
      <c r="G48" t="str">
        <f>S49</f>
        <v>0x00</v>
      </c>
      <c r="I48" s="21">
        <v>0</v>
      </c>
      <c r="J48" s="21">
        <v>0</v>
      </c>
      <c r="K48" s="21">
        <v>0</v>
      </c>
      <c r="L48" s="21">
        <v>0</v>
      </c>
      <c r="M48" s="21">
        <v>0</v>
      </c>
      <c r="N48" s="21">
        <v>0</v>
      </c>
      <c r="O48" s="21">
        <v>0</v>
      </c>
      <c r="P48" s="21">
        <v>0</v>
      </c>
      <c r="Q48" s="21"/>
      <c r="R48" s="21" t="s">
        <v>158</v>
      </c>
      <c r="S48" s="22">
        <f>SUM(I49:P49)</f>
        <v>0</v>
      </c>
    </row>
    <row r="49" spans="1:19">
      <c r="I49" s="21">
        <f>IF(I48=1,2^7,0)</f>
        <v>0</v>
      </c>
      <c r="J49" s="21">
        <f>IF(J48=1,2^6,0)</f>
        <v>0</v>
      </c>
      <c r="K49" s="21">
        <f>IF(K48=1,2^5,0)</f>
        <v>0</v>
      </c>
      <c r="L49" s="21">
        <f>IF(L48=1,2^4,0)</f>
        <v>0</v>
      </c>
      <c r="M49" s="21">
        <f>IF(M48=1,2^3,0)</f>
        <v>0</v>
      </c>
      <c r="N49" s="21">
        <f>IF(N48=1,2^2,0)</f>
        <v>0</v>
      </c>
      <c r="O49" s="21">
        <f>IF(O48=1,2^1,0)</f>
        <v>0</v>
      </c>
      <c r="P49" s="21">
        <f>IF(P48=1,2^0,0)</f>
        <v>0</v>
      </c>
      <c r="Q49" s="21"/>
      <c r="R49" s="21" t="s">
        <v>159</v>
      </c>
      <c r="S49" s="22" t="str">
        <f>"0x" &amp; IF(LEN(DEC2HEX(S48))&lt;2,"0" &amp; DEC2HEX(S48),DEC2HEX(S48))</f>
        <v>0x00</v>
      </c>
    </row>
    <row r="50" spans="1:19">
      <c r="A50">
        <f>A48+1</f>
        <v>20</v>
      </c>
      <c r="B50">
        <v>26</v>
      </c>
      <c r="D50" t="s">
        <v>183</v>
      </c>
      <c r="G50" t="str">
        <f>S51</f>
        <v>0x2C</v>
      </c>
      <c r="I50" s="19">
        <v>0</v>
      </c>
      <c r="J50" s="19">
        <v>0</v>
      </c>
      <c r="K50" s="19">
        <v>1</v>
      </c>
      <c r="L50" s="19">
        <v>0</v>
      </c>
      <c r="M50" s="19">
        <v>1</v>
      </c>
      <c r="N50" s="19">
        <v>1</v>
      </c>
      <c r="O50" s="19">
        <v>0</v>
      </c>
      <c r="P50" s="19">
        <v>0</v>
      </c>
      <c r="Q50" s="19"/>
      <c r="R50" s="19" t="s">
        <v>158</v>
      </c>
      <c r="S50" s="20">
        <f>SUM(I51:P51)</f>
        <v>44</v>
      </c>
    </row>
    <row r="51" spans="1:19">
      <c r="I51" s="19">
        <f>IF(I50=1,2^7,0)</f>
        <v>0</v>
      </c>
      <c r="J51" s="19">
        <f>IF(J50=1,2^6,0)</f>
        <v>0</v>
      </c>
      <c r="K51" s="19">
        <f>IF(K50=1,2^5,0)</f>
        <v>32</v>
      </c>
      <c r="L51" s="19">
        <f>IF(L50=1,2^4,0)</f>
        <v>0</v>
      </c>
      <c r="M51" s="19">
        <f>IF(M50=1,2^3,0)</f>
        <v>8</v>
      </c>
      <c r="N51" s="19">
        <f>IF(N50=1,2^2,0)</f>
        <v>4</v>
      </c>
      <c r="O51" s="19">
        <f>IF(O50=1,2^1,0)</f>
        <v>0</v>
      </c>
      <c r="P51" s="19">
        <f>IF(P50=1,2^0,0)</f>
        <v>0</v>
      </c>
      <c r="Q51" s="19"/>
      <c r="R51" s="19" t="s">
        <v>159</v>
      </c>
      <c r="S51" s="20" t="str">
        <f>"0x" &amp; IF(LEN(DEC2HEX(S50))&lt;2,"0" &amp; DEC2HEX(S50),DEC2HEX(S50))</f>
        <v>0x2C</v>
      </c>
    </row>
    <row r="52" spans="1:19">
      <c r="A52">
        <f>A50+1</f>
        <v>21</v>
      </c>
      <c r="B52">
        <v>27</v>
      </c>
      <c r="D52" t="s">
        <v>184</v>
      </c>
      <c r="G52" t="str">
        <f>S53</f>
        <v>0x00</v>
      </c>
      <c r="I52" s="21">
        <v>0</v>
      </c>
      <c r="J52" s="21">
        <v>0</v>
      </c>
      <c r="K52" s="21">
        <v>0</v>
      </c>
      <c r="L52" s="21">
        <v>0</v>
      </c>
      <c r="M52" s="21">
        <v>0</v>
      </c>
      <c r="N52" s="21">
        <v>0</v>
      </c>
      <c r="O52" s="21">
        <v>0</v>
      </c>
      <c r="P52" s="21">
        <v>0</v>
      </c>
      <c r="Q52" s="21"/>
      <c r="R52" s="21" t="s">
        <v>158</v>
      </c>
      <c r="S52" s="22">
        <f>SUM(I53:P53)</f>
        <v>0</v>
      </c>
    </row>
    <row r="53" spans="1:19">
      <c r="I53" s="21">
        <v>0</v>
      </c>
      <c r="J53" s="21">
        <v>0</v>
      </c>
      <c r="K53" s="21">
        <v>0</v>
      </c>
      <c r="L53" s="21">
        <v>0</v>
      </c>
      <c r="M53" s="21">
        <v>0</v>
      </c>
      <c r="N53" s="21">
        <v>0</v>
      </c>
      <c r="O53" s="21">
        <v>0</v>
      </c>
      <c r="P53" s="21">
        <v>0</v>
      </c>
      <c r="Q53" s="21"/>
      <c r="R53" s="21" t="s">
        <v>159</v>
      </c>
      <c r="S53" s="22" t="str">
        <f>"0x" &amp; IF(LEN(DEC2HEX(S52))&lt;2,"0" &amp; DEC2HEX(S52),DEC2HEX(S52))</f>
        <v>0x00</v>
      </c>
    </row>
    <row r="54" spans="1:19">
      <c r="A54">
        <f>A52+1</f>
        <v>22</v>
      </c>
      <c r="B54">
        <v>28</v>
      </c>
      <c r="D54" t="s">
        <v>185</v>
      </c>
      <c r="G54" t="str">
        <f>S55</f>
        <v>0x00</v>
      </c>
      <c r="I54" s="19">
        <v>0</v>
      </c>
      <c r="J54" s="19">
        <v>0</v>
      </c>
      <c r="K54" s="19">
        <v>0</v>
      </c>
      <c r="L54" s="19">
        <v>0</v>
      </c>
      <c r="M54" s="19">
        <v>0</v>
      </c>
      <c r="N54" s="19">
        <v>0</v>
      </c>
      <c r="O54" s="19">
        <v>0</v>
      </c>
      <c r="P54" s="19">
        <v>0</v>
      </c>
      <c r="Q54" s="19"/>
      <c r="R54" s="19" t="s">
        <v>158</v>
      </c>
      <c r="S54" s="20">
        <f>SUM(I55:P55)</f>
        <v>0</v>
      </c>
    </row>
    <row r="55" spans="1:19">
      <c r="I55" s="19">
        <v>0</v>
      </c>
      <c r="J55" s="19">
        <v>0</v>
      </c>
      <c r="K55" s="19">
        <v>0</v>
      </c>
      <c r="L55" s="19">
        <v>0</v>
      </c>
      <c r="M55" s="19">
        <v>0</v>
      </c>
      <c r="N55" s="19">
        <v>0</v>
      </c>
      <c r="O55" s="19">
        <v>0</v>
      </c>
      <c r="P55" s="19">
        <v>0</v>
      </c>
      <c r="Q55" s="19"/>
      <c r="R55" s="19" t="s">
        <v>159</v>
      </c>
      <c r="S55" s="20" t="str">
        <f>"0x" &amp; IF(LEN(DEC2HEX(S54))&lt;2,"0" &amp; DEC2HEX(S54),DEC2HEX(S54))</f>
        <v>0x00</v>
      </c>
    </row>
    <row r="56" spans="1:19">
      <c r="A56">
        <f>A54+1</f>
        <v>23</v>
      </c>
      <c r="B56">
        <v>29</v>
      </c>
      <c r="D56" t="s">
        <v>186</v>
      </c>
      <c r="G56" t="str">
        <f>S57</f>
        <v>0x00</v>
      </c>
      <c r="I56" s="21">
        <v>0</v>
      </c>
      <c r="J56" s="21">
        <v>0</v>
      </c>
      <c r="K56" s="21">
        <v>0</v>
      </c>
      <c r="L56" s="21">
        <v>0</v>
      </c>
      <c r="M56" s="21">
        <v>0</v>
      </c>
      <c r="N56" s="21">
        <v>0</v>
      </c>
      <c r="O56" s="21">
        <v>0</v>
      </c>
      <c r="P56" s="21">
        <v>0</v>
      </c>
      <c r="Q56" s="21"/>
      <c r="R56" s="21" t="s">
        <v>158</v>
      </c>
      <c r="S56" s="22">
        <f>SUM(I57:P57)</f>
        <v>0</v>
      </c>
    </row>
    <row r="57" spans="1:19">
      <c r="I57" s="21">
        <v>0</v>
      </c>
      <c r="J57" s="21">
        <v>0</v>
      </c>
      <c r="K57" s="21">
        <v>0</v>
      </c>
      <c r="L57" s="21">
        <v>0</v>
      </c>
      <c r="M57" s="21">
        <v>0</v>
      </c>
      <c r="N57" s="21">
        <v>0</v>
      </c>
      <c r="O57" s="21">
        <v>0</v>
      </c>
      <c r="P57" s="21">
        <v>0</v>
      </c>
      <c r="Q57" s="21"/>
      <c r="R57" s="21" t="s">
        <v>159</v>
      </c>
      <c r="S57" s="22" t="str">
        <f>"0x" &amp; IF(LEN(DEC2HEX(S56))&lt;2,"0" &amp; DEC2HEX(S56),DEC2HEX(S56))</f>
        <v>0x00</v>
      </c>
    </row>
    <row r="58" spans="1:19">
      <c r="A58">
        <f>A56+1</f>
        <v>24</v>
      </c>
      <c r="B58">
        <v>30</v>
      </c>
      <c r="D58" t="s">
        <v>187</v>
      </c>
      <c r="G58" t="str">
        <f>S59</f>
        <v>0x00</v>
      </c>
      <c r="I58" s="19">
        <v>0</v>
      </c>
      <c r="J58" s="19">
        <v>0</v>
      </c>
      <c r="K58" s="19">
        <v>0</v>
      </c>
      <c r="L58" s="19">
        <v>0</v>
      </c>
      <c r="M58" s="19">
        <v>0</v>
      </c>
      <c r="N58" s="19">
        <v>0</v>
      </c>
      <c r="O58" s="19">
        <v>0</v>
      </c>
      <c r="P58" s="19">
        <v>0</v>
      </c>
      <c r="Q58" s="19"/>
      <c r="R58" s="19" t="s">
        <v>158</v>
      </c>
      <c r="S58" s="20">
        <f>SUM(I59:P59)</f>
        <v>0</v>
      </c>
    </row>
    <row r="59" spans="1:19">
      <c r="I59" s="19">
        <v>0</v>
      </c>
      <c r="J59" s="19">
        <v>0</v>
      </c>
      <c r="K59" s="19">
        <v>0</v>
      </c>
      <c r="L59" s="19">
        <v>0</v>
      </c>
      <c r="M59" s="19">
        <v>0</v>
      </c>
      <c r="N59" s="19">
        <v>0</v>
      </c>
      <c r="O59" s="19">
        <v>0</v>
      </c>
      <c r="P59" s="19">
        <v>0</v>
      </c>
      <c r="Q59" s="19"/>
      <c r="R59" s="19" t="s">
        <v>159</v>
      </c>
      <c r="S59" s="20" t="str">
        <f>"0x" &amp; IF(LEN(DEC2HEX(S58))&lt;2,"0" &amp; DEC2HEX(S58),DEC2HEX(S58))</f>
        <v>0x00</v>
      </c>
    </row>
    <row r="60" spans="1:19">
      <c r="A60">
        <f>A58+1</f>
        <v>25</v>
      </c>
      <c r="B60">
        <v>31</v>
      </c>
      <c r="D60" t="s">
        <v>188</v>
      </c>
      <c r="G60" t="str">
        <f>S61</f>
        <v>0x00</v>
      </c>
      <c r="I60" s="21">
        <v>0</v>
      </c>
      <c r="J60" s="21">
        <v>0</v>
      </c>
      <c r="K60" s="21">
        <v>0</v>
      </c>
      <c r="L60" s="21">
        <v>0</v>
      </c>
      <c r="M60" s="21">
        <v>0</v>
      </c>
      <c r="N60" s="21">
        <v>0</v>
      </c>
      <c r="O60" s="21">
        <v>0</v>
      </c>
      <c r="P60" s="21">
        <v>0</v>
      </c>
      <c r="Q60" s="21"/>
      <c r="R60" s="21" t="s">
        <v>158</v>
      </c>
      <c r="S60" s="22">
        <f>SUM(I61:P61)</f>
        <v>0</v>
      </c>
    </row>
    <row r="61" spans="1:19">
      <c r="I61" s="21">
        <v>0</v>
      </c>
      <c r="J61" s="21">
        <v>0</v>
      </c>
      <c r="K61" s="21">
        <v>0</v>
      </c>
      <c r="L61" s="21">
        <v>0</v>
      </c>
      <c r="M61" s="21">
        <v>0</v>
      </c>
      <c r="N61" s="21">
        <v>0</v>
      </c>
      <c r="O61" s="21">
        <v>0</v>
      </c>
      <c r="P61" s="21">
        <v>0</v>
      </c>
      <c r="Q61" s="21"/>
      <c r="R61" s="21" t="s">
        <v>159</v>
      </c>
      <c r="S61" s="22" t="str">
        <f>"0x" &amp; IF(LEN(DEC2HEX(S60))&lt;2,"0" &amp; DEC2HEX(S60),DEC2HEX(S60))</f>
        <v>0x00</v>
      </c>
    </row>
    <row r="62" spans="1:19">
      <c r="A62">
        <f>A60+1</f>
        <v>26</v>
      </c>
      <c r="B62">
        <v>32</v>
      </c>
      <c r="D62" t="s">
        <v>189</v>
      </c>
      <c r="G62" t="str">
        <f>S63</f>
        <v>0x00</v>
      </c>
      <c r="I62" s="19">
        <v>0</v>
      </c>
      <c r="J62" s="19">
        <v>0</v>
      </c>
      <c r="K62" s="19">
        <v>0</v>
      </c>
      <c r="L62" s="19">
        <v>0</v>
      </c>
      <c r="M62" s="19">
        <v>0</v>
      </c>
      <c r="N62" s="19">
        <v>0</v>
      </c>
      <c r="O62" s="19">
        <v>0</v>
      </c>
      <c r="P62" s="19">
        <v>0</v>
      </c>
      <c r="Q62" s="19"/>
      <c r="R62" s="19" t="s">
        <v>158</v>
      </c>
      <c r="S62" s="20">
        <f>SUM(I63:P63)</f>
        <v>0</v>
      </c>
    </row>
    <row r="63" spans="1:19">
      <c r="I63" s="19">
        <v>0</v>
      </c>
      <c r="J63" s="19">
        <v>0</v>
      </c>
      <c r="K63" s="19">
        <v>0</v>
      </c>
      <c r="L63" s="19">
        <v>0</v>
      </c>
      <c r="M63" s="19">
        <v>0</v>
      </c>
      <c r="N63" s="19">
        <v>0</v>
      </c>
      <c r="O63" s="19">
        <v>0</v>
      </c>
      <c r="P63" s="19">
        <v>0</v>
      </c>
      <c r="Q63" s="19"/>
      <c r="R63" s="19" t="s">
        <v>159</v>
      </c>
      <c r="S63" s="20" t="str">
        <f>"0x" &amp; IF(LEN(DEC2HEX(S62))&lt;2,"0" &amp; DEC2HEX(S62),DEC2HEX(S62))</f>
        <v>0x00</v>
      </c>
    </row>
    <row r="64" spans="1:19">
      <c r="A64">
        <f>A62+1</f>
        <v>27</v>
      </c>
      <c r="B64">
        <v>33</v>
      </c>
      <c r="D64" t="s">
        <v>190</v>
      </c>
      <c r="G64" t="str">
        <f>S65</f>
        <v>0x00</v>
      </c>
      <c r="I64" s="21">
        <v>0</v>
      </c>
      <c r="J64" s="21">
        <v>0</v>
      </c>
      <c r="K64" s="21">
        <v>0</v>
      </c>
      <c r="L64" s="21">
        <v>0</v>
      </c>
      <c r="M64" s="21">
        <v>0</v>
      </c>
      <c r="N64" s="21">
        <v>0</v>
      </c>
      <c r="O64" s="21">
        <v>0</v>
      </c>
      <c r="P64" s="21">
        <v>0</v>
      </c>
      <c r="Q64" s="21"/>
      <c r="R64" s="21" t="s">
        <v>158</v>
      </c>
      <c r="S64" s="22">
        <f>SUM(I65:P65)</f>
        <v>0</v>
      </c>
    </row>
    <row r="65" spans="1:19">
      <c r="I65" s="21">
        <v>0</v>
      </c>
      <c r="J65" s="21">
        <v>0</v>
      </c>
      <c r="K65" s="21">
        <v>0</v>
      </c>
      <c r="L65" s="21">
        <v>0</v>
      </c>
      <c r="M65" s="21">
        <v>0</v>
      </c>
      <c r="N65" s="21">
        <v>0</v>
      </c>
      <c r="O65" s="21">
        <v>0</v>
      </c>
      <c r="P65" s="21">
        <v>0</v>
      </c>
      <c r="Q65" s="21"/>
      <c r="R65" s="21" t="s">
        <v>159</v>
      </c>
      <c r="S65" s="22" t="str">
        <f>"0x" &amp; IF(LEN(DEC2HEX(S64))&lt;2,"0" &amp; DEC2HEX(S64),DEC2HEX(S64))</f>
        <v>0x00</v>
      </c>
    </row>
    <row r="66" spans="1:19">
      <c r="A66">
        <f>A64+1</f>
        <v>28</v>
      </c>
      <c r="B66">
        <v>34</v>
      </c>
      <c r="D66" t="s">
        <v>191</v>
      </c>
      <c r="G66" t="str">
        <f>S67</f>
        <v>0x00</v>
      </c>
      <c r="I66" s="19">
        <v>0</v>
      </c>
      <c r="J66" s="19">
        <v>0</v>
      </c>
      <c r="K66" s="19">
        <v>0</v>
      </c>
      <c r="L66" s="19">
        <v>0</v>
      </c>
      <c r="M66" s="19">
        <v>0</v>
      </c>
      <c r="N66" s="19">
        <v>0</v>
      </c>
      <c r="O66" s="19">
        <v>0</v>
      </c>
      <c r="P66" s="19">
        <v>0</v>
      </c>
      <c r="Q66" s="19"/>
      <c r="R66" s="19" t="s">
        <v>158</v>
      </c>
      <c r="S66" s="20">
        <f>SUM(I67:P67)</f>
        <v>0</v>
      </c>
    </row>
    <row r="67" spans="1:19">
      <c r="I67" s="19">
        <v>0</v>
      </c>
      <c r="J67" s="19">
        <v>0</v>
      </c>
      <c r="K67" s="19">
        <v>0</v>
      </c>
      <c r="L67" s="19">
        <v>0</v>
      </c>
      <c r="M67" s="19">
        <v>0</v>
      </c>
      <c r="N67" s="19">
        <v>0</v>
      </c>
      <c r="O67" s="19">
        <v>0</v>
      </c>
      <c r="P67" s="19">
        <v>0</v>
      </c>
      <c r="Q67" s="19"/>
      <c r="R67" s="19" t="s">
        <v>159</v>
      </c>
      <c r="S67" s="20" t="str">
        <f>"0x" &amp; IF(LEN(DEC2HEX(S66))&lt;2,"0" &amp; DEC2HEX(S66),DEC2HEX(S66))</f>
        <v>0x00</v>
      </c>
    </row>
    <row r="68" spans="1:19">
      <c r="A68">
        <f>A66+1</f>
        <v>29</v>
      </c>
      <c r="B68">
        <v>35</v>
      </c>
      <c r="D68" t="s">
        <v>192</v>
      </c>
      <c r="G68" t="str">
        <f>S69</f>
        <v>0x00</v>
      </c>
      <c r="I68" s="21">
        <v>0</v>
      </c>
      <c r="J68" s="21">
        <v>0</v>
      </c>
      <c r="K68" s="21">
        <v>0</v>
      </c>
      <c r="L68" s="21">
        <v>0</v>
      </c>
      <c r="M68" s="21">
        <v>0</v>
      </c>
      <c r="N68" s="21">
        <v>0</v>
      </c>
      <c r="O68" s="21">
        <v>0</v>
      </c>
      <c r="P68" s="21">
        <v>0</v>
      </c>
      <c r="Q68" s="21"/>
      <c r="R68" s="21" t="s">
        <v>158</v>
      </c>
      <c r="S68" s="22">
        <f>SUM(I69:P69)</f>
        <v>0</v>
      </c>
    </row>
    <row r="69" spans="1:19">
      <c r="I69" s="21">
        <v>0</v>
      </c>
      <c r="J69" s="21">
        <v>0</v>
      </c>
      <c r="K69" s="21">
        <v>0</v>
      </c>
      <c r="L69" s="21">
        <v>0</v>
      </c>
      <c r="M69" s="21">
        <v>0</v>
      </c>
      <c r="N69" s="21">
        <v>0</v>
      </c>
      <c r="O69" s="21">
        <v>0</v>
      </c>
      <c r="P69" s="21">
        <v>0</v>
      </c>
      <c r="Q69" s="21"/>
      <c r="R69" s="21" t="s">
        <v>159</v>
      </c>
      <c r="S69" s="22" t="str">
        <f>"0x" &amp; IF(LEN(DEC2HEX(S68))&lt;2,"0" &amp; DEC2HEX(S68),DEC2HEX(S68))</f>
        <v>0x00</v>
      </c>
    </row>
    <row r="70" spans="1:19">
      <c r="A70">
        <f>A68+1</f>
        <v>30</v>
      </c>
      <c r="B70">
        <v>36</v>
      </c>
      <c r="D70" t="s">
        <v>201</v>
      </c>
      <c r="G70" t="str">
        <f>S71</f>
        <v>0x00</v>
      </c>
      <c r="I70" s="19">
        <v>0</v>
      </c>
      <c r="J70" s="19">
        <v>0</v>
      </c>
      <c r="K70" s="19">
        <v>0</v>
      </c>
      <c r="L70" s="19">
        <v>0</v>
      </c>
      <c r="M70" s="19">
        <v>0</v>
      </c>
      <c r="N70" s="19">
        <v>0</v>
      </c>
      <c r="O70" s="19">
        <v>0</v>
      </c>
      <c r="P70" s="19">
        <v>0</v>
      </c>
      <c r="Q70" s="19"/>
      <c r="R70" s="19" t="s">
        <v>158</v>
      </c>
      <c r="S70" s="20">
        <f>SUM(I71:P71)</f>
        <v>0</v>
      </c>
    </row>
    <row r="71" spans="1:19">
      <c r="I71" s="19">
        <v>0</v>
      </c>
      <c r="J71" s="19">
        <v>0</v>
      </c>
      <c r="K71" s="19">
        <v>0</v>
      </c>
      <c r="L71" s="19">
        <v>0</v>
      </c>
      <c r="M71" s="19">
        <v>0</v>
      </c>
      <c r="N71" s="19">
        <v>0</v>
      </c>
      <c r="O71" s="19">
        <v>0</v>
      </c>
      <c r="P71" s="19">
        <v>0</v>
      </c>
      <c r="Q71" s="19"/>
      <c r="R71" s="19" t="s">
        <v>159</v>
      </c>
      <c r="S71" s="20" t="str">
        <f>"0x" &amp; IF(LEN(DEC2HEX(S70))&lt;2,"0" &amp; DEC2HEX(S70),DEC2HEX(S70))</f>
        <v>0x00</v>
      </c>
    </row>
    <row r="72" spans="1:19">
      <c r="A72">
        <f>A70+1</f>
        <v>31</v>
      </c>
      <c r="B72">
        <v>37</v>
      </c>
      <c r="D72" t="s">
        <v>202</v>
      </c>
      <c r="G72" t="str">
        <f>S73</f>
        <v>0x00</v>
      </c>
      <c r="I72" s="21">
        <v>0</v>
      </c>
      <c r="J72" s="21">
        <v>0</v>
      </c>
      <c r="K72" s="21">
        <v>0</v>
      </c>
      <c r="L72" s="21">
        <v>0</v>
      </c>
      <c r="M72" s="21">
        <v>0</v>
      </c>
      <c r="N72" s="21">
        <v>0</v>
      </c>
      <c r="O72" s="21">
        <v>0</v>
      </c>
      <c r="P72" s="21">
        <v>0</v>
      </c>
      <c r="Q72" s="21"/>
      <c r="R72" s="21" t="s">
        <v>158</v>
      </c>
      <c r="S72" s="22">
        <f>SUM(I73:P73)</f>
        <v>0</v>
      </c>
    </row>
    <row r="73" spans="1:19">
      <c r="I73" s="21">
        <v>0</v>
      </c>
      <c r="J73" s="21">
        <v>0</v>
      </c>
      <c r="K73" s="21">
        <v>0</v>
      </c>
      <c r="L73" s="21">
        <v>0</v>
      </c>
      <c r="M73" s="21">
        <v>0</v>
      </c>
      <c r="N73" s="21">
        <v>0</v>
      </c>
      <c r="O73" s="21">
        <v>0</v>
      </c>
      <c r="P73" s="21">
        <v>0</v>
      </c>
      <c r="Q73" s="21"/>
      <c r="R73" s="21" t="s">
        <v>159</v>
      </c>
      <c r="S73" s="22" t="str">
        <f>"0x" &amp; IF(LEN(DEC2HEX(S72))&lt;2,"0" &amp; DEC2HEX(S72),DEC2HEX(S72))</f>
        <v>0x00</v>
      </c>
    </row>
    <row r="74" spans="1:19">
      <c r="A74">
        <f>A72+1</f>
        <v>32</v>
      </c>
      <c r="B74">
        <v>38</v>
      </c>
      <c r="D74" t="s">
        <v>203</v>
      </c>
      <c r="G74" t="str">
        <f>S75</f>
        <v>0x00</v>
      </c>
      <c r="I74" s="19">
        <v>0</v>
      </c>
      <c r="J74" s="19">
        <v>0</v>
      </c>
      <c r="K74" s="19">
        <v>0</v>
      </c>
      <c r="L74" s="19">
        <v>0</v>
      </c>
      <c r="M74" s="19">
        <v>0</v>
      </c>
      <c r="N74" s="19">
        <v>0</v>
      </c>
      <c r="O74" s="19">
        <v>0</v>
      </c>
      <c r="P74" s="19">
        <v>0</v>
      </c>
      <c r="Q74" s="19"/>
      <c r="R74" s="19" t="s">
        <v>158</v>
      </c>
      <c r="S74" s="20">
        <f>SUM(I75:P75)</f>
        <v>0</v>
      </c>
    </row>
    <row r="75" spans="1:19">
      <c r="I75" s="19">
        <v>0</v>
      </c>
      <c r="J75" s="19">
        <v>0</v>
      </c>
      <c r="K75" s="19">
        <v>0</v>
      </c>
      <c r="L75" s="19">
        <v>0</v>
      </c>
      <c r="M75" s="19">
        <v>0</v>
      </c>
      <c r="N75" s="19">
        <v>0</v>
      </c>
      <c r="O75" s="19">
        <v>0</v>
      </c>
      <c r="P75" s="19">
        <v>0</v>
      </c>
      <c r="Q75" s="19"/>
      <c r="R75" s="19" t="s">
        <v>159</v>
      </c>
      <c r="S75" s="20" t="str">
        <f>"0x" &amp; IF(LEN(DEC2HEX(S74))&lt;2,"0" &amp; DEC2HEX(S74),DEC2HEX(S74))</f>
        <v>0x00</v>
      </c>
    </row>
    <row r="76" spans="1:19">
      <c r="A76">
        <f>A74+1</f>
        <v>33</v>
      </c>
      <c r="B76">
        <v>39</v>
      </c>
      <c r="D76" t="s">
        <v>204</v>
      </c>
      <c r="G76" t="str">
        <f>S77</f>
        <v>0x00</v>
      </c>
      <c r="I76" s="21">
        <v>0</v>
      </c>
      <c r="J76" s="21">
        <v>0</v>
      </c>
      <c r="K76" s="21">
        <v>0</v>
      </c>
      <c r="L76" s="21">
        <v>0</v>
      </c>
      <c r="M76" s="21">
        <v>0</v>
      </c>
      <c r="N76" s="21">
        <v>0</v>
      </c>
      <c r="O76" s="21">
        <v>0</v>
      </c>
      <c r="P76" s="21">
        <v>0</v>
      </c>
      <c r="Q76" s="21"/>
      <c r="R76" s="21" t="s">
        <v>158</v>
      </c>
      <c r="S76" s="22">
        <f>SUM(I77:P77)</f>
        <v>0</v>
      </c>
    </row>
    <row r="77" spans="1:19">
      <c r="I77" s="21">
        <v>0</v>
      </c>
      <c r="J77" s="21">
        <v>0</v>
      </c>
      <c r="K77" s="21">
        <v>0</v>
      </c>
      <c r="L77" s="21">
        <v>0</v>
      </c>
      <c r="M77" s="21">
        <v>0</v>
      </c>
      <c r="N77" s="21">
        <v>0</v>
      </c>
      <c r="O77" s="21">
        <v>0</v>
      </c>
      <c r="P77" s="21">
        <v>0</v>
      </c>
      <c r="Q77" s="21"/>
      <c r="R77" s="21" t="s">
        <v>159</v>
      </c>
      <c r="S77" s="22" t="str">
        <f>"0x" &amp; IF(LEN(DEC2HEX(S76))&lt;2,"0" &amp; DEC2HEX(S76),DEC2HEX(S76))</f>
        <v>0x00</v>
      </c>
    </row>
    <row r="78" spans="1:19">
      <c r="A78">
        <f>A76+1</f>
        <v>34</v>
      </c>
      <c r="B78">
        <v>40</v>
      </c>
      <c r="D78" t="s">
        <v>205</v>
      </c>
      <c r="G78" t="str">
        <f>S79</f>
        <v>0x00</v>
      </c>
      <c r="I78" s="19">
        <v>0</v>
      </c>
      <c r="J78" s="19">
        <v>0</v>
      </c>
      <c r="K78" s="19">
        <v>0</v>
      </c>
      <c r="L78" s="19">
        <v>0</v>
      </c>
      <c r="M78" s="19">
        <v>0</v>
      </c>
      <c r="N78" s="19">
        <v>0</v>
      </c>
      <c r="O78" s="19">
        <v>0</v>
      </c>
      <c r="P78" s="19">
        <v>0</v>
      </c>
      <c r="Q78" s="19"/>
      <c r="R78" s="19" t="s">
        <v>158</v>
      </c>
      <c r="S78" s="20">
        <f>SUM(I79:P79)</f>
        <v>0</v>
      </c>
    </row>
    <row r="79" spans="1:19">
      <c r="I79" s="19">
        <v>0</v>
      </c>
      <c r="J79" s="19">
        <v>0</v>
      </c>
      <c r="K79" s="19">
        <v>0</v>
      </c>
      <c r="L79" s="19">
        <v>0</v>
      </c>
      <c r="M79" s="19">
        <v>0</v>
      </c>
      <c r="N79" s="19">
        <v>0</v>
      </c>
      <c r="O79" s="19">
        <v>0</v>
      </c>
      <c r="P79" s="19">
        <v>0</v>
      </c>
      <c r="Q79" s="19"/>
      <c r="R79" s="19" t="s">
        <v>159</v>
      </c>
      <c r="S79" s="20" t="str">
        <f>"0x" &amp; IF(LEN(DEC2HEX(S78))&lt;2,"0" &amp; DEC2HEX(S78),DEC2HEX(S78))</f>
        <v>0x00</v>
      </c>
    </row>
    <row r="80" spans="1:19">
      <c r="A80">
        <f>A78+1</f>
        <v>35</v>
      </c>
      <c r="B80">
        <v>41</v>
      </c>
      <c r="C80" s="17"/>
      <c r="D80" t="s">
        <v>206</v>
      </c>
      <c r="E80" s="17"/>
      <c r="F80" s="17"/>
      <c r="G80" s="23" t="str">
        <f>S81</f>
        <v>0x00</v>
      </c>
      <c r="H80" s="17"/>
      <c r="I80" s="21">
        <v>0</v>
      </c>
      <c r="J80" s="21">
        <v>0</v>
      </c>
      <c r="K80" s="21">
        <v>0</v>
      </c>
      <c r="L80" s="21">
        <v>0</v>
      </c>
      <c r="M80" s="21">
        <v>0</v>
      </c>
      <c r="N80" s="21">
        <v>0</v>
      </c>
      <c r="O80" s="21">
        <v>0</v>
      </c>
      <c r="P80" s="21">
        <v>0</v>
      </c>
      <c r="Q80" s="21"/>
      <c r="R80" s="21" t="s">
        <v>158</v>
      </c>
      <c r="S80" s="22">
        <f>SUM(I81:P81)</f>
        <v>0</v>
      </c>
    </row>
    <row r="81" spans="1:20">
      <c r="C81" s="17"/>
      <c r="D81" s="17"/>
      <c r="E81" s="17"/>
      <c r="F81" s="17"/>
      <c r="G81" s="23"/>
      <c r="H81" s="17"/>
      <c r="I81" s="21">
        <v>0</v>
      </c>
      <c r="J81" s="21">
        <v>0</v>
      </c>
      <c r="K81" s="21">
        <v>0</v>
      </c>
      <c r="L81" s="21">
        <v>0</v>
      </c>
      <c r="M81" s="21">
        <v>0</v>
      </c>
      <c r="N81" s="21">
        <v>0</v>
      </c>
      <c r="O81" s="21">
        <v>0</v>
      </c>
      <c r="P81" s="21">
        <v>0</v>
      </c>
      <c r="Q81" s="21"/>
      <c r="R81" s="21" t="s">
        <v>159</v>
      </c>
      <c r="S81" s="22" t="str">
        <f>"0x" &amp; IF(LEN(DEC2HEX(S80))&lt;2,"0" &amp; DEC2HEX(S80),DEC2HEX(S80))</f>
        <v>0x00</v>
      </c>
    </row>
    <row r="82" spans="1:20">
      <c r="A82">
        <f>A80+1</f>
        <v>36</v>
      </c>
      <c r="B82">
        <v>42</v>
      </c>
      <c r="D82" s="23" t="s">
        <v>207</v>
      </c>
      <c r="E82" s="17"/>
      <c r="F82" s="17"/>
      <c r="G82" s="23" t="str">
        <f>S83</f>
        <v>0x16</v>
      </c>
      <c r="H82" s="17"/>
      <c r="I82" s="19">
        <v>0</v>
      </c>
      <c r="J82" s="19">
        <v>0</v>
      </c>
      <c r="K82" s="19">
        <v>0</v>
      </c>
      <c r="L82" s="19">
        <v>1</v>
      </c>
      <c r="M82" s="19">
        <v>0</v>
      </c>
      <c r="N82" s="19">
        <v>1</v>
      </c>
      <c r="O82" s="19">
        <v>1</v>
      </c>
      <c r="P82" s="19">
        <v>0</v>
      </c>
      <c r="Q82" s="19"/>
      <c r="R82" s="19" t="s">
        <v>158</v>
      </c>
      <c r="S82" s="20">
        <v>22</v>
      </c>
    </row>
    <row r="83" spans="1:20">
      <c r="D83" s="23"/>
      <c r="E83" s="17"/>
      <c r="F83" s="17"/>
      <c r="G83" s="23"/>
      <c r="H83" s="17"/>
      <c r="I83" s="19">
        <v>0</v>
      </c>
      <c r="J83" s="19">
        <v>0</v>
      </c>
      <c r="K83" s="19">
        <v>0</v>
      </c>
      <c r="L83" s="19">
        <v>16</v>
      </c>
      <c r="M83" s="19">
        <v>0</v>
      </c>
      <c r="N83" s="19">
        <v>4</v>
      </c>
      <c r="O83" s="19">
        <v>2</v>
      </c>
      <c r="P83" s="19">
        <v>0</v>
      </c>
      <c r="Q83" s="19"/>
      <c r="R83" s="19" t="s">
        <v>159</v>
      </c>
      <c r="S83" s="20" t="s">
        <v>209</v>
      </c>
    </row>
    <row r="84" spans="1:20">
      <c r="A84">
        <f>A82+1</f>
        <v>37</v>
      </c>
      <c r="B84">
        <v>43</v>
      </c>
      <c r="D84" s="23" t="s">
        <v>208</v>
      </c>
      <c r="E84" s="17"/>
      <c r="F84" s="17"/>
      <c r="G84" s="23" t="str">
        <f>S85</f>
        <v>0xDC</v>
      </c>
      <c r="H84" s="17"/>
      <c r="I84" s="21">
        <v>1</v>
      </c>
      <c r="J84" s="21">
        <v>1</v>
      </c>
      <c r="K84" s="21">
        <v>0</v>
      </c>
      <c r="L84" s="21">
        <v>1</v>
      </c>
      <c r="M84" s="21">
        <v>1</v>
      </c>
      <c r="N84" s="21">
        <v>1</v>
      </c>
      <c r="O84" s="21">
        <v>0</v>
      </c>
      <c r="P84" s="21">
        <v>0</v>
      </c>
      <c r="Q84" s="21"/>
      <c r="R84" s="21" t="s">
        <v>158</v>
      </c>
      <c r="S84" s="22">
        <v>220</v>
      </c>
    </row>
    <row r="85" spans="1:20">
      <c r="D85" s="23"/>
      <c r="E85" s="17"/>
      <c r="F85" s="17"/>
      <c r="G85" s="23"/>
      <c r="H85" s="17"/>
      <c r="I85" s="21">
        <v>128</v>
      </c>
      <c r="J85" s="21">
        <v>64</v>
      </c>
      <c r="K85" s="21">
        <v>0</v>
      </c>
      <c r="L85" s="21">
        <v>16</v>
      </c>
      <c r="M85" s="21">
        <v>8</v>
      </c>
      <c r="N85" s="21">
        <v>4</v>
      </c>
      <c r="O85" s="21">
        <v>0</v>
      </c>
      <c r="P85" s="21">
        <v>0</v>
      </c>
      <c r="Q85" s="21"/>
      <c r="R85" s="21" t="s">
        <v>159</v>
      </c>
      <c r="S85" s="22" t="s">
        <v>210</v>
      </c>
    </row>
    <row r="86" spans="1:20"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</row>
    <row r="87" spans="1:20"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</row>
    <row r="88" spans="1:20"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</row>
    <row r="89" spans="1:20"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</row>
    <row r="90" spans="1:20"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</row>
    <row r="91" spans="1:20">
      <c r="B91" s="17"/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</row>
  </sheetData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>
  <sheetPr codeName="Sheet17"/>
  <dimension ref="C3:AK4"/>
  <sheetViews>
    <sheetView workbookViewId="0">
      <selection activeCell="G21" sqref="G21"/>
    </sheetView>
  </sheetViews>
  <sheetFormatPr defaultColWidth="2.7109375" defaultRowHeight="15"/>
  <cols>
    <col min="3" max="4" width="11" bestFit="1" customWidth="1"/>
    <col min="5" max="7" width="10" bestFit="1" customWidth="1"/>
    <col min="8" max="10" width="9" bestFit="1" customWidth="1"/>
    <col min="11" max="14" width="8" bestFit="1" customWidth="1"/>
    <col min="15" max="17" width="7" bestFit="1" customWidth="1"/>
    <col min="18" max="18" width="6" bestFit="1" customWidth="1"/>
  </cols>
  <sheetData>
    <row r="3" spans="3:37">
      <c r="C3" s="19">
        <v>1</v>
      </c>
      <c r="D3" s="19">
        <v>1</v>
      </c>
      <c r="E3" s="19">
        <v>1</v>
      </c>
      <c r="F3" s="19">
        <v>1</v>
      </c>
      <c r="G3" s="19">
        <v>1</v>
      </c>
      <c r="H3" s="19">
        <v>1</v>
      </c>
      <c r="I3" s="19">
        <v>1</v>
      </c>
      <c r="J3" s="19">
        <v>1</v>
      </c>
      <c r="K3" s="19">
        <v>1</v>
      </c>
      <c r="L3" s="19">
        <v>1</v>
      </c>
      <c r="M3" s="19">
        <v>1</v>
      </c>
      <c r="N3" s="19">
        <v>1</v>
      </c>
      <c r="O3" s="19">
        <v>1</v>
      </c>
      <c r="P3" s="19">
        <v>1</v>
      </c>
      <c r="Q3" s="19">
        <v>1</v>
      </c>
      <c r="R3" s="19">
        <v>1</v>
      </c>
      <c r="S3" s="19">
        <v>1</v>
      </c>
      <c r="T3" s="19">
        <v>1</v>
      </c>
      <c r="U3" s="19">
        <v>1</v>
      </c>
      <c r="V3" s="19">
        <v>1</v>
      </c>
      <c r="W3" s="19">
        <v>1</v>
      </c>
      <c r="X3" s="19">
        <v>1</v>
      </c>
      <c r="Y3" s="19">
        <v>1</v>
      </c>
      <c r="Z3" s="19">
        <v>1</v>
      </c>
      <c r="AA3" s="19">
        <v>1</v>
      </c>
      <c r="AB3" s="19">
        <v>1</v>
      </c>
      <c r="AC3" s="19">
        <v>1</v>
      </c>
      <c r="AD3" s="19">
        <v>1</v>
      </c>
      <c r="AE3" s="19">
        <v>1</v>
      </c>
      <c r="AF3" s="19">
        <v>1</v>
      </c>
      <c r="AG3" s="19">
        <v>1</v>
      </c>
      <c r="AH3" s="19">
        <v>1</v>
      </c>
      <c r="AI3" s="19"/>
      <c r="AJ3" s="19" t="s">
        <v>158</v>
      </c>
      <c r="AK3" s="20">
        <f>SUM(AA4:AH4)</f>
        <v>255</v>
      </c>
    </row>
    <row r="4" spans="3:37">
      <c r="C4" s="19">
        <f>IF(C3=1,2^31,0)</f>
        <v>2147483648</v>
      </c>
      <c r="D4" s="19">
        <f>IF(D3=1,2^30,0)</f>
        <v>1073741824</v>
      </c>
      <c r="E4" s="19">
        <f>IF(E3=1,2^29,0)</f>
        <v>536870912</v>
      </c>
      <c r="F4" s="19">
        <f>IF(F3=1,2^28,0)</f>
        <v>268435456</v>
      </c>
      <c r="G4" s="19">
        <f>IF(G3=1,2^27,0)</f>
        <v>134217728</v>
      </c>
      <c r="H4" s="19">
        <f>IF(H3=1,2^26,0)</f>
        <v>67108864</v>
      </c>
      <c r="I4" s="19">
        <f>IF(I3=1,2^25,0)</f>
        <v>33554432</v>
      </c>
      <c r="J4" s="19">
        <f>IF(J3=1,2^24,0)</f>
        <v>16777216</v>
      </c>
      <c r="K4" s="19">
        <f>IF(K3=1,2^23,0)</f>
        <v>8388608</v>
      </c>
      <c r="L4" s="19">
        <f>IF(L3=1,2^22,0)</f>
        <v>4194304</v>
      </c>
      <c r="M4" s="19">
        <f>IF(M3=1,2^21,0)</f>
        <v>2097152</v>
      </c>
      <c r="N4" s="19">
        <f>IF(N3=1,2^20,0)</f>
        <v>1048576</v>
      </c>
      <c r="O4" s="19">
        <f>IF(O3=1,2^19,0)</f>
        <v>524288</v>
      </c>
      <c r="P4" s="19">
        <f>IF(P3=1,2^18,0)</f>
        <v>262144</v>
      </c>
      <c r="Q4" s="19">
        <f>IF(Q3=1,2^17,0)</f>
        <v>131072</v>
      </c>
      <c r="R4" s="19">
        <f>IF(R3=1,2^16,0)</f>
        <v>65536</v>
      </c>
      <c r="S4" s="19">
        <f>IF(S3=1,2^15,0)</f>
        <v>32768</v>
      </c>
      <c r="T4" s="19">
        <f>IF(T3=1,2^14,0)</f>
        <v>16384</v>
      </c>
      <c r="U4" s="19">
        <f>IF(U3=1,2^12,0)</f>
        <v>4096</v>
      </c>
      <c r="V4" s="19">
        <f>IF(V3=1,2^12,0)</f>
        <v>4096</v>
      </c>
      <c r="W4" s="19">
        <f>IF(W3=1,2^11,0)</f>
        <v>2048</v>
      </c>
      <c r="X4" s="19">
        <f>IF(X3=1,2^10,0)</f>
        <v>1024</v>
      </c>
      <c r="Y4" s="19">
        <f>IF(Y3=1,2^9,0)</f>
        <v>512</v>
      </c>
      <c r="Z4" s="19">
        <f>IF(Z3=1,2^8,0)</f>
        <v>256</v>
      </c>
      <c r="AA4" s="19">
        <f>IF(AA3=1,2^7,0)</f>
        <v>128</v>
      </c>
      <c r="AB4" s="19">
        <f>IF(AB3=1,2^6,0)</f>
        <v>64</v>
      </c>
      <c r="AC4" s="19">
        <f>IF(AC3=1,2^5,0)</f>
        <v>32</v>
      </c>
      <c r="AD4" s="19">
        <f>IF(AD3=1,2^4,0)</f>
        <v>16</v>
      </c>
      <c r="AE4" s="19">
        <f>IF(AE3=1,2^3,0)</f>
        <v>8</v>
      </c>
      <c r="AF4" s="19">
        <f>IF(AF3=1,2^2,0)</f>
        <v>4</v>
      </c>
      <c r="AG4" s="19">
        <f>IF(AG3=1,2^1,0)</f>
        <v>2</v>
      </c>
      <c r="AH4" s="19">
        <f>IF(AH3=1,2^0,0)</f>
        <v>1</v>
      </c>
      <c r="AI4" s="19"/>
      <c r="AJ4" s="19" t="s">
        <v>159</v>
      </c>
      <c r="AK4" s="20" t="str">
        <f>"0x" &amp; IF(LEN(DEC2HEX(AK3))&lt;2,"0" &amp; DEC2HEX(AK3),DEC2HEX(AK3))</f>
        <v>0xFF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>
  <sheetPr codeName="Sheet18"/>
  <dimension ref="B2"/>
  <sheetViews>
    <sheetView workbookViewId="0">
      <selection activeCell="B3" sqref="B3"/>
    </sheetView>
  </sheetViews>
  <sheetFormatPr defaultRowHeight="15"/>
  <sheetData>
    <row r="2" spans="2:2">
      <c r="B2" s="1" t="s">
        <v>246</v>
      </c>
    </row>
  </sheetData>
  <hyperlinks>
    <hyperlink ref="B2" r:id="rId1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sheetPr codeName="Sheet2">
    <tabColor theme="9"/>
  </sheetPr>
  <dimension ref="A1:D35"/>
  <sheetViews>
    <sheetView topLeftCell="A13" zoomScaleNormal="100" workbookViewId="0">
      <selection activeCell="D27" sqref="D27"/>
    </sheetView>
  </sheetViews>
  <sheetFormatPr defaultRowHeight="15"/>
  <cols>
    <col min="2" max="2" width="11" customWidth="1"/>
    <col min="3" max="3" width="15.7109375" customWidth="1"/>
    <col min="4" max="4" width="44.28515625" bestFit="1" customWidth="1"/>
    <col min="5" max="5" width="7.140625" customWidth="1"/>
  </cols>
  <sheetData>
    <row r="1" spans="1:4">
      <c r="B1" t="s">
        <v>39</v>
      </c>
      <c r="C1" s="1" t="s">
        <v>40</v>
      </c>
    </row>
    <row r="2" spans="1:4">
      <c r="C2" s="1" t="s">
        <v>80</v>
      </c>
    </row>
    <row r="3" spans="1:4">
      <c r="B3" t="s">
        <v>77</v>
      </c>
      <c r="C3" s="1" t="s">
        <v>82</v>
      </c>
    </row>
    <row r="4" spans="1:4">
      <c r="C4" s="1" t="s">
        <v>87</v>
      </c>
    </row>
    <row r="5" spans="1:4">
      <c r="B5" t="s">
        <v>37</v>
      </c>
      <c r="C5" s="2" t="s">
        <v>81</v>
      </c>
    </row>
    <row r="6" spans="1:4">
      <c r="A6" t="s">
        <v>146</v>
      </c>
      <c r="B6" t="s">
        <v>34</v>
      </c>
      <c r="C6" s="1" t="s">
        <v>38</v>
      </c>
    </row>
    <row r="7" spans="1:4">
      <c r="A7" t="s">
        <v>147</v>
      </c>
      <c r="C7" s="1" t="s">
        <v>148</v>
      </c>
    </row>
    <row r="8" spans="1:4">
      <c r="C8" s="1" t="s">
        <v>334</v>
      </c>
    </row>
    <row r="9" spans="1:4">
      <c r="C9" s="1"/>
    </row>
    <row r="10" spans="1:4" ht="15.75">
      <c r="B10" s="4" t="s">
        <v>50</v>
      </c>
      <c r="C10" s="4" t="s">
        <v>51</v>
      </c>
      <c r="D10" s="4" t="s">
        <v>52</v>
      </c>
    </row>
    <row r="12" spans="1:4">
      <c r="B12" t="s">
        <v>88</v>
      </c>
      <c r="C12" t="s">
        <v>89</v>
      </c>
      <c r="D12" t="s">
        <v>232</v>
      </c>
    </row>
    <row r="13" spans="1:4" ht="15.75">
      <c r="B13" s="5" t="s">
        <v>5</v>
      </c>
      <c r="C13" s="5"/>
    </row>
    <row r="14" spans="1:4" ht="15.75">
      <c r="B14" s="5" t="s">
        <v>6</v>
      </c>
      <c r="C14" s="5"/>
      <c r="D14" s="5" t="s">
        <v>83</v>
      </c>
    </row>
    <row r="15" spans="1:4" ht="15.75">
      <c r="B15" s="5" t="s">
        <v>7</v>
      </c>
      <c r="C15" s="5"/>
      <c r="D15" s="5"/>
    </row>
    <row r="16" spans="1:4" ht="15.75">
      <c r="B16" s="5" t="s">
        <v>8</v>
      </c>
      <c r="C16" s="5"/>
      <c r="D16" s="5"/>
    </row>
    <row r="17" spans="2:4" ht="15.75">
      <c r="B17" s="5" t="s">
        <v>9</v>
      </c>
      <c r="C17" s="5" t="s">
        <v>15</v>
      </c>
      <c r="D17" s="5" t="s">
        <v>84</v>
      </c>
    </row>
    <row r="18" spans="2:4" ht="15.75">
      <c r="B18" s="5" t="s">
        <v>11</v>
      </c>
      <c r="C18" s="5" t="s">
        <v>14</v>
      </c>
      <c r="D18" s="5" t="s">
        <v>85</v>
      </c>
    </row>
    <row r="19" spans="2:4" ht="15.75">
      <c r="B19" s="5" t="s">
        <v>12</v>
      </c>
      <c r="C19" s="5"/>
      <c r="D19" s="5"/>
    </row>
    <row r="20" spans="2:4" ht="15.75">
      <c r="B20" s="5" t="s">
        <v>13</v>
      </c>
      <c r="C20" s="5"/>
      <c r="D20" s="5"/>
    </row>
    <row r="21" spans="2:4" ht="15.75">
      <c r="B21" s="5" t="s">
        <v>16</v>
      </c>
      <c r="C21" s="5" t="s">
        <v>17</v>
      </c>
      <c r="D21" s="5" t="s">
        <v>220</v>
      </c>
    </row>
    <row r="22" spans="2:4" ht="15.75">
      <c r="B22" s="5" t="s">
        <v>10</v>
      </c>
      <c r="C22" s="5" t="s">
        <v>18</v>
      </c>
      <c r="D22" s="5" t="s">
        <v>219</v>
      </c>
    </row>
    <row r="23" spans="2:4" ht="15.75">
      <c r="B23" s="5" t="s">
        <v>19</v>
      </c>
      <c r="C23" s="5"/>
      <c r="D23" s="5" t="s">
        <v>539</v>
      </c>
    </row>
    <row r="24" spans="2:4" ht="15.75">
      <c r="B24" s="5" t="s">
        <v>41</v>
      </c>
      <c r="C24" s="5"/>
      <c r="D24" s="5"/>
    </row>
    <row r="25" spans="2:4" ht="15.75">
      <c r="B25" s="5" t="s">
        <v>20</v>
      </c>
    </row>
    <row r="26" spans="2:4" ht="15.75">
      <c r="B26" s="5" t="s">
        <v>42</v>
      </c>
    </row>
    <row r="27" spans="2:4" ht="15.75">
      <c r="B27" s="5" t="s">
        <v>43</v>
      </c>
      <c r="C27" s="5" t="s">
        <v>25</v>
      </c>
      <c r="D27" s="5" t="s">
        <v>251</v>
      </c>
    </row>
    <row r="28" spans="2:4" ht="15.75">
      <c r="B28" s="5" t="s">
        <v>21</v>
      </c>
      <c r="C28" s="5" t="s">
        <v>26</v>
      </c>
      <c r="D28" s="5" t="s">
        <v>231</v>
      </c>
    </row>
    <row r="29" spans="2:4" ht="15.75">
      <c r="B29" s="5" t="s">
        <v>22</v>
      </c>
      <c r="C29" s="5"/>
      <c r="D29" s="5" t="s">
        <v>250</v>
      </c>
    </row>
    <row r="30" spans="2:4" ht="15.75">
      <c r="B30" s="5" t="s">
        <v>44</v>
      </c>
      <c r="C30" s="5"/>
      <c r="D30" s="5" t="s">
        <v>86</v>
      </c>
    </row>
    <row r="31" spans="2:4" ht="15.75">
      <c r="B31" s="5" t="s">
        <v>45</v>
      </c>
      <c r="C31" s="5"/>
      <c r="D31" s="5"/>
    </row>
    <row r="32" spans="2:4" ht="15.75">
      <c r="B32" s="5" t="s">
        <v>46</v>
      </c>
      <c r="C32" s="5" t="s">
        <v>47</v>
      </c>
      <c r="D32" s="5" t="s">
        <v>115</v>
      </c>
    </row>
    <row r="33" spans="2:4" ht="15.75">
      <c r="B33" s="5" t="s">
        <v>23</v>
      </c>
      <c r="C33" s="5" t="s">
        <v>48</v>
      </c>
      <c r="D33" s="5"/>
    </row>
    <row r="34" spans="2:4" ht="15.75">
      <c r="B34" s="5" t="s">
        <v>24</v>
      </c>
      <c r="C34" s="5" t="s">
        <v>49</v>
      </c>
      <c r="D34" s="5"/>
    </row>
    <row r="35" spans="2:4">
      <c r="D35" s="1"/>
    </row>
  </sheetData>
  <hyperlinks>
    <hyperlink ref="C1" r:id="rId1"/>
    <hyperlink ref="C6" r:id="rId2"/>
    <hyperlink ref="C3" r:id="rId3"/>
    <hyperlink ref="C7" r:id="rId4"/>
    <hyperlink ref="C4" r:id="rId5"/>
    <hyperlink ref="C8" r:id="rId6"/>
  </hyperlinks>
  <pageMargins left="0.7" right="0.7" top="0.75" bottom="0.75" header="0.3" footer="0.3"/>
  <pageSetup paperSize="9" orientation="portrait" r:id="rId7"/>
  <drawing r:id="rId8"/>
</worksheet>
</file>

<file path=xl/worksheets/sheet20.xml><?xml version="1.0" encoding="utf-8"?>
<worksheet xmlns="http://schemas.openxmlformats.org/spreadsheetml/2006/main" xmlns:r="http://schemas.openxmlformats.org/officeDocument/2006/relationships">
  <sheetPr codeName="Sheet19"/>
  <dimension ref="B1:L23"/>
  <sheetViews>
    <sheetView zoomScale="90" zoomScaleNormal="90" workbookViewId="0">
      <selection activeCell="F11" sqref="F11"/>
    </sheetView>
  </sheetViews>
  <sheetFormatPr defaultRowHeight="15"/>
  <cols>
    <col min="2" max="2" width="10.5703125" bestFit="1" customWidth="1"/>
    <col min="4" max="4" width="11.140625" bestFit="1" customWidth="1"/>
    <col min="5" max="12" width="12.5703125" customWidth="1"/>
  </cols>
  <sheetData>
    <row r="1" spans="2:12">
      <c r="D1" t="s">
        <v>296</v>
      </c>
      <c r="E1" s="33">
        <v>7</v>
      </c>
      <c r="F1" s="33">
        <v>6</v>
      </c>
      <c r="G1" s="33">
        <v>5</v>
      </c>
      <c r="H1" s="33">
        <v>4</v>
      </c>
      <c r="I1" s="33">
        <v>3</v>
      </c>
      <c r="J1" s="33">
        <v>2</v>
      </c>
      <c r="K1" s="33">
        <v>1</v>
      </c>
      <c r="L1" s="33">
        <v>0</v>
      </c>
    </row>
    <row r="2" spans="2:12" s="32" customFormat="1">
      <c r="D2" s="32" t="s">
        <v>297</v>
      </c>
      <c r="E2" s="34"/>
      <c r="F2" s="34"/>
      <c r="G2" s="34"/>
      <c r="H2" s="34"/>
      <c r="I2" s="34" t="s">
        <v>546</v>
      </c>
      <c r="J2" s="34" t="s">
        <v>545</v>
      </c>
      <c r="K2" s="34" t="s">
        <v>544</v>
      </c>
      <c r="L2" s="34" t="s">
        <v>543</v>
      </c>
    </row>
    <row r="3" spans="2:12">
      <c r="B3" t="s">
        <v>295</v>
      </c>
      <c r="C3">
        <v>8</v>
      </c>
      <c r="E3" s="33" t="str">
        <f>MID(DEC2BIN($C$3),E1+1,1)</f>
        <v/>
      </c>
      <c r="F3" s="33" t="str">
        <f>MID(DEC2BIN($C$3),F1+1,1)</f>
        <v/>
      </c>
      <c r="G3" s="33" t="str">
        <f>MID(DEC2BIN($C$3),G1+1,1)</f>
        <v/>
      </c>
      <c r="H3" s="33" t="str">
        <f>MID(DEC2BIN($C$3),H1+1,1)</f>
        <v/>
      </c>
      <c r="I3" s="33">
        <v>0</v>
      </c>
      <c r="J3" s="33">
        <v>1</v>
      </c>
      <c r="K3" s="33">
        <v>1</v>
      </c>
      <c r="L3" s="33">
        <v>1</v>
      </c>
    </row>
    <row r="4" spans="2:12">
      <c r="C4" t="str">
        <f>DEC2BIN(C3)</f>
        <v>1000</v>
      </c>
    </row>
    <row r="8" spans="2:12">
      <c r="E8">
        <f t="shared" ref="E8:K8" si="0">2^E1</f>
        <v>128</v>
      </c>
      <c r="F8">
        <f t="shared" si="0"/>
        <v>64</v>
      </c>
      <c r="G8">
        <f t="shared" si="0"/>
        <v>32</v>
      </c>
      <c r="H8">
        <f t="shared" si="0"/>
        <v>16</v>
      </c>
      <c r="I8">
        <f t="shared" si="0"/>
        <v>8</v>
      </c>
      <c r="J8">
        <f t="shared" si="0"/>
        <v>4</v>
      </c>
      <c r="K8">
        <f t="shared" si="0"/>
        <v>2</v>
      </c>
      <c r="L8">
        <f>2^L1</f>
        <v>1</v>
      </c>
    </row>
    <row r="22" spans="4:4">
      <c r="D22" t="s">
        <v>488</v>
      </c>
    </row>
    <row r="23" spans="4:4">
      <c r="D23">
        <f>LEN(D22)</f>
        <v>100</v>
      </c>
    </row>
  </sheetData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>
  <sheetPr codeName="Sheet20"/>
  <dimension ref="C3:K27"/>
  <sheetViews>
    <sheetView topLeftCell="A7" workbookViewId="0">
      <selection activeCell="L17" sqref="L17"/>
    </sheetView>
  </sheetViews>
  <sheetFormatPr defaultRowHeight="15"/>
  <cols>
    <col min="3" max="3" width="18.85546875" customWidth="1"/>
    <col min="8" max="8" width="27" bestFit="1" customWidth="1"/>
    <col min="10" max="10" width="8" bestFit="1" customWidth="1"/>
  </cols>
  <sheetData>
    <row r="3" spans="3:10">
      <c r="C3" t="s">
        <v>389</v>
      </c>
      <c r="D3">
        <v>11</v>
      </c>
      <c r="H3" t="s">
        <v>411</v>
      </c>
      <c r="I3">
        <v>3000</v>
      </c>
      <c r="J3" t="s">
        <v>396</v>
      </c>
    </row>
    <row r="4" spans="3:10">
      <c r="C4" t="s">
        <v>146</v>
      </c>
      <c r="D4">
        <v>3</v>
      </c>
      <c r="H4" t="s">
        <v>397</v>
      </c>
      <c r="I4">
        <v>50</v>
      </c>
      <c r="J4" t="s">
        <v>396</v>
      </c>
    </row>
    <row r="5" spans="3:10">
      <c r="C5" t="s">
        <v>374</v>
      </c>
      <c r="D5">
        <v>4</v>
      </c>
      <c r="H5" t="s">
        <v>398</v>
      </c>
      <c r="I5">
        <v>50</v>
      </c>
      <c r="J5" t="s">
        <v>396</v>
      </c>
    </row>
    <row r="6" spans="3:10">
      <c r="C6" t="s">
        <v>390</v>
      </c>
      <c r="D6">
        <v>2</v>
      </c>
      <c r="H6" t="s">
        <v>409</v>
      </c>
      <c r="I6">
        <v>13.1</v>
      </c>
      <c r="J6" t="s">
        <v>410</v>
      </c>
    </row>
    <row r="7" spans="3:10">
      <c r="C7" t="s">
        <v>391</v>
      </c>
      <c r="D7">
        <v>1</v>
      </c>
    </row>
    <row r="8" spans="3:10">
      <c r="C8" t="s">
        <v>392</v>
      </c>
      <c r="D8">
        <v>2</v>
      </c>
      <c r="H8" t="s">
        <v>401</v>
      </c>
      <c r="I8">
        <v>0.17860000000000001</v>
      </c>
      <c r="J8" t="s">
        <v>399</v>
      </c>
    </row>
    <row r="9" spans="3:10">
      <c r="C9" t="s">
        <v>393</v>
      </c>
      <c r="D9">
        <v>36</v>
      </c>
      <c r="H9" t="s">
        <v>400</v>
      </c>
      <c r="I9">
        <v>8.9899999999999994E-2</v>
      </c>
      <c r="J9" t="s">
        <v>399</v>
      </c>
    </row>
    <row r="11" spans="3:10">
      <c r="C11" t="s">
        <v>395</v>
      </c>
      <c r="D11">
        <v>74</v>
      </c>
      <c r="H11" t="s">
        <v>402</v>
      </c>
      <c r="I11" s="3" t="s">
        <v>404</v>
      </c>
      <c r="J11" t="s">
        <v>403</v>
      </c>
    </row>
    <row r="12" spans="3:10">
      <c r="H12" t="s">
        <v>405</v>
      </c>
      <c r="I12">
        <f>IF(I11="H",I8,IF(I11="He",I9,0))</f>
        <v>0.17860000000000001</v>
      </c>
      <c r="J12" t="s">
        <v>399</v>
      </c>
    </row>
    <row r="13" spans="3:10">
      <c r="H13" t="s">
        <v>406</v>
      </c>
      <c r="I13" s="40">
        <f>(I4+I3)/1000/I12</f>
        <v>17.07726763717805</v>
      </c>
      <c r="J13" t="s">
        <v>407</v>
      </c>
    </row>
    <row r="14" spans="3:10">
      <c r="H14" t="s">
        <v>408</v>
      </c>
      <c r="I14" s="40">
        <f>(I5+I4+I3)/1000/I12</f>
        <v>17.357222844344903</v>
      </c>
      <c r="J14" t="s">
        <v>407</v>
      </c>
    </row>
    <row r="15" spans="3:10">
      <c r="H15" t="s">
        <v>412</v>
      </c>
      <c r="I15" s="6">
        <f>4/3*PI()*(I6/2)^3</f>
        <v>1177.0976950335551</v>
      </c>
      <c r="J15" t="s">
        <v>407</v>
      </c>
    </row>
    <row r="16" spans="3:10">
      <c r="C16" t="s">
        <v>394</v>
      </c>
      <c r="D16">
        <f>SUM(D3:D13)</f>
        <v>133</v>
      </c>
      <c r="H16" t="s">
        <v>414</v>
      </c>
      <c r="I16">
        <v>101325</v>
      </c>
      <c r="J16" t="s">
        <v>416</v>
      </c>
    </row>
    <row r="17" spans="8:11">
      <c r="H17" t="s">
        <v>423</v>
      </c>
      <c r="I17">
        <v>1.2250000000000001</v>
      </c>
      <c r="J17" t="s">
        <v>399</v>
      </c>
    </row>
    <row r="18" spans="8:11">
      <c r="H18" t="s">
        <v>413</v>
      </c>
      <c r="I18" s="6">
        <f>I16*I14/I15</f>
        <v>1494.1160891943741</v>
      </c>
      <c r="J18" t="s">
        <v>416</v>
      </c>
    </row>
    <row r="19" spans="8:11">
      <c r="H19" t="s">
        <v>415</v>
      </c>
      <c r="I19" s="6">
        <f>(1-(I18/I16)^(1/5.25588))/0.0000225577</f>
        <v>24457.449334974724</v>
      </c>
      <c r="J19" t="s">
        <v>410</v>
      </c>
    </row>
    <row r="20" spans="8:11">
      <c r="I20" s="41"/>
    </row>
    <row r="21" spans="8:11">
      <c r="H21" t="s">
        <v>417</v>
      </c>
      <c r="I21">
        <f>IF(I19&gt;25000,-131.21+0.00299*I19,IF(I19&gt;11000,-56.46,15.04-0.00649*I19))</f>
        <v>-56.46</v>
      </c>
      <c r="J21" t="s">
        <v>420</v>
      </c>
      <c r="K21" t="s">
        <v>418</v>
      </c>
    </row>
    <row r="22" spans="8:11">
      <c r="H22" t="s">
        <v>419</v>
      </c>
      <c r="I22">
        <f>I18/1000/(0.2869*(I21+273.1))</f>
        <v>2.4038930794019395E-2</v>
      </c>
      <c r="J22" t="s">
        <v>399</v>
      </c>
    </row>
    <row r="23" spans="8:11">
      <c r="H23" t="s">
        <v>421</v>
      </c>
      <c r="I23">
        <f>(I17*I14*SUM(I3:I4)/1000)*9.81</f>
        <v>636.1875629899215</v>
      </c>
      <c r="J23" t="s">
        <v>422</v>
      </c>
    </row>
    <row r="24" spans="8:11">
      <c r="H24" t="s">
        <v>425</v>
      </c>
      <c r="I24" s="40">
        <f>2*(I14)^(1/3)/(4/3*PI())</f>
        <v>1.2362362269918923</v>
      </c>
      <c r="J24" t="s">
        <v>410</v>
      </c>
      <c r="K24" t="s">
        <v>430</v>
      </c>
    </row>
    <row r="25" spans="8:11">
      <c r="H25" t="s">
        <v>424</v>
      </c>
      <c r="I25" s="40">
        <f>PI()*I24^2/4</f>
        <v>1.200308312168419</v>
      </c>
      <c r="J25" t="s">
        <v>426</v>
      </c>
    </row>
    <row r="26" spans="8:11">
      <c r="H26" t="s">
        <v>427</v>
      </c>
      <c r="I26">
        <f>SQRT(2*I23/I17/I25/I27)</f>
        <v>43.851744711493254</v>
      </c>
      <c r="J26" t="s">
        <v>429</v>
      </c>
    </row>
    <row r="27" spans="8:11">
      <c r="H27" t="s">
        <v>428</v>
      </c>
      <c r="I27">
        <v>0.45</v>
      </c>
      <c r="K27" t="s">
        <v>430</v>
      </c>
    </row>
  </sheetData>
  <dataValidations disablePrompts="1" count="1">
    <dataValidation type="list" allowBlank="1" showInputMessage="1" showErrorMessage="1" sqref="I11">
      <formula1>"H, He"</formula1>
    </dataValidation>
  </dataValidations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>
  <sheetPr codeName="Sheet21"/>
  <dimension ref="A1:V66"/>
  <sheetViews>
    <sheetView topLeftCell="A4" zoomScaleNormal="100" workbookViewId="0">
      <selection activeCell="P27" sqref="P27"/>
    </sheetView>
  </sheetViews>
  <sheetFormatPr defaultRowHeight="12" customHeight="1"/>
  <cols>
    <col min="2" max="2" width="3.5703125" customWidth="1"/>
    <col min="8" max="8" width="7.28515625" customWidth="1"/>
    <col min="9" max="10" width="6.28515625" customWidth="1"/>
    <col min="11" max="11" width="8.28515625" customWidth="1"/>
    <col min="14" max="14" width="12" bestFit="1" customWidth="1"/>
  </cols>
  <sheetData>
    <row r="1" spans="1:22" ht="12" customHeight="1">
      <c r="A1" t="s">
        <v>418</v>
      </c>
      <c r="H1" s="3" t="s">
        <v>506</v>
      </c>
      <c r="I1">
        <v>-6.4999999999999997E-3</v>
      </c>
      <c r="J1" t="s">
        <v>507</v>
      </c>
      <c r="K1" t="s">
        <v>533</v>
      </c>
      <c r="N1" s="3" t="s">
        <v>528</v>
      </c>
      <c r="O1">
        <v>9.8066499999999994</v>
      </c>
      <c r="P1" t="s">
        <v>520</v>
      </c>
      <c r="Q1" t="s">
        <v>532</v>
      </c>
    </row>
    <row r="2" spans="1:22" ht="12" customHeight="1">
      <c r="H2" s="3" t="s">
        <v>510</v>
      </c>
      <c r="I2" s="3">
        <v>287.06</v>
      </c>
      <c r="J2" t="s">
        <v>511</v>
      </c>
      <c r="N2" s="3" t="s">
        <v>529</v>
      </c>
      <c r="O2">
        <v>2.8964400000000001E-2</v>
      </c>
      <c r="P2" t="s">
        <v>521</v>
      </c>
      <c r="Q2" t="s">
        <v>534</v>
      </c>
    </row>
    <row r="3" spans="1:22" ht="12" customHeight="1">
      <c r="H3" s="3" t="s">
        <v>512</v>
      </c>
      <c r="I3" s="3">
        <v>9.81</v>
      </c>
      <c r="J3" t="s">
        <v>513</v>
      </c>
      <c r="N3" s="3" t="s">
        <v>510</v>
      </c>
      <c r="O3">
        <v>8.3144597999999998</v>
      </c>
      <c r="P3" t="s">
        <v>522</v>
      </c>
    </row>
    <row r="4" spans="1:22" ht="12" customHeight="1">
      <c r="H4" s="3" t="s">
        <v>514</v>
      </c>
      <c r="I4" s="3">
        <v>0</v>
      </c>
      <c r="J4" t="s">
        <v>410</v>
      </c>
      <c r="K4" t="s">
        <v>516</v>
      </c>
      <c r="T4" s="3" t="s">
        <v>536</v>
      </c>
      <c r="U4">
        <v>6356.7659999999996</v>
      </c>
      <c r="V4" t="s">
        <v>535</v>
      </c>
    </row>
    <row r="5" spans="1:22" ht="12" customHeight="1">
      <c r="H5" s="3" t="s">
        <v>515</v>
      </c>
      <c r="I5" s="3">
        <v>10140</v>
      </c>
      <c r="J5" t="s">
        <v>416</v>
      </c>
      <c r="K5" t="s">
        <v>517</v>
      </c>
      <c r="N5" s="31" t="s">
        <v>523</v>
      </c>
      <c r="O5" s="31" t="s">
        <v>524</v>
      </c>
      <c r="P5" s="31" t="s">
        <v>527</v>
      </c>
      <c r="Q5" s="31" t="s">
        <v>525</v>
      </c>
      <c r="R5" s="31" t="s">
        <v>526</v>
      </c>
    </row>
    <row r="6" spans="1:22" ht="12" customHeight="1">
      <c r="H6" s="3" t="s">
        <v>518</v>
      </c>
      <c r="I6" s="3">
        <v>15</v>
      </c>
      <c r="J6" t="s">
        <v>420</v>
      </c>
      <c r="N6" s="31">
        <v>0</v>
      </c>
      <c r="O6" s="31">
        <v>0</v>
      </c>
      <c r="P6" s="31">
        <v>101325</v>
      </c>
      <c r="Q6" s="31">
        <v>288.14999999999998</v>
      </c>
      <c r="R6" s="31">
        <v>-6.4999999999999997E-3</v>
      </c>
      <c r="T6">
        <f>Q6-273.15</f>
        <v>15</v>
      </c>
    </row>
    <row r="7" spans="1:22" ht="12" customHeight="1">
      <c r="H7" s="3" t="s">
        <v>518</v>
      </c>
      <c r="I7" s="3">
        <f>I6+273.15</f>
        <v>288.14999999999998</v>
      </c>
      <c r="J7" t="s">
        <v>508</v>
      </c>
      <c r="N7" s="31">
        <v>1</v>
      </c>
      <c r="O7" s="31">
        <v>11000</v>
      </c>
      <c r="P7" s="31">
        <v>22632</v>
      </c>
      <c r="Q7" s="31">
        <v>216.62</v>
      </c>
      <c r="R7" s="31">
        <v>0</v>
      </c>
    </row>
    <row r="8" spans="1:22" ht="12" customHeight="1">
      <c r="I8" s="3"/>
      <c r="N8" s="31">
        <v>2</v>
      </c>
      <c r="O8" s="31">
        <v>20000</v>
      </c>
      <c r="P8" s="31">
        <v>5474.89</v>
      </c>
      <c r="Q8" s="31">
        <v>216.65</v>
      </c>
      <c r="R8" s="31">
        <v>1E-3</v>
      </c>
    </row>
    <row r="9" spans="1:22" ht="15">
      <c r="I9" s="3"/>
      <c r="N9" s="31">
        <v>3</v>
      </c>
      <c r="O9" s="31">
        <v>32000</v>
      </c>
      <c r="P9" s="31">
        <v>868.02</v>
      </c>
      <c r="Q9" s="31">
        <v>228.65</v>
      </c>
      <c r="R9" s="31">
        <v>2.8E-3</v>
      </c>
    </row>
    <row r="10" spans="1:22" ht="12" customHeight="1">
      <c r="I10" s="3"/>
      <c r="N10" s="31">
        <v>4</v>
      </c>
      <c r="O10" s="31">
        <v>47000</v>
      </c>
      <c r="P10" s="31">
        <v>110.91</v>
      </c>
      <c r="Q10" s="31">
        <v>270.64999999999998</v>
      </c>
      <c r="R10" s="31">
        <v>0</v>
      </c>
    </row>
    <row r="11" spans="1:22" ht="12" customHeight="1">
      <c r="C11" s="74" t="s">
        <v>502</v>
      </c>
      <c r="D11" s="74" t="s">
        <v>503</v>
      </c>
      <c r="E11" s="74" t="s">
        <v>504</v>
      </c>
      <c r="F11" s="74" t="s">
        <v>505</v>
      </c>
      <c r="H11" s="76" t="s">
        <v>504</v>
      </c>
      <c r="I11" s="75" t="s">
        <v>503</v>
      </c>
      <c r="J11" s="75" t="s">
        <v>503</v>
      </c>
      <c r="N11" s="31">
        <v>5</v>
      </c>
      <c r="O11" s="31">
        <v>51000</v>
      </c>
      <c r="P11" s="31">
        <v>66.94</v>
      </c>
      <c r="Q11" s="31">
        <v>270.64999999999998</v>
      </c>
      <c r="R11" s="31">
        <v>-2.8E-3</v>
      </c>
    </row>
    <row r="12" spans="1:22" ht="12" customHeight="1">
      <c r="C12" s="74" t="s">
        <v>410</v>
      </c>
      <c r="D12" s="74" t="s">
        <v>420</v>
      </c>
      <c r="E12" s="74" t="s">
        <v>509</v>
      </c>
      <c r="F12" s="74" t="s">
        <v>399</v>
      </c>
      <c r="H12" s="76" t="s">
        <v>537</v>
      </c>
      <c r="I12" s="75" t="s">
        <v>420</v>
      </c>
      <c r="J12" s="75" t="s">
        <v>508</v>
      </c>
      <c r="N12" s="31">
        <v>6</v>
      </c>
      <c r="O12" s="31">
        <v>71000</v>
      </c>
      <c r="P12" s="31">
        <v>3.96</v>
      </c>
      <c r="Q12" s="31">
        <v>214.65</v>
      </c>
      <c r="R12" s="31">
        <v>-2E-3</v>
      </c>
    </row>
    <row r="13" spans="1:22" ht="12" customHeight="1">
      <c r="N13" s="31"/>
      <c r="O13" s="31"/>
      <c r="P13" s="31"/>
      <c r="Q13" s="31"/>
      <c r="R13" s="31"/>
    </row>
    <row r="14" spans="1:22" ht="12" customHeight="1">
      <c r="M14" s="3" t="s">
        <v>530</v>
      </c>
      <c r="N14" s="31">
        <v>0</v>
      </c>
      <c r="O14" s="31">
        <v>1</v>
      </c>
      <c r="P14" s="31">
        <v>2</v>
      </c>
      <c r="Q14" s="31">
        <v>3</v>
      </c>
      <c r="R14" s="31">
        <v>4</v>
      </c>
      <c r="S14" s="31">
        <v>5</v>
      </c>
      <c r="T14" s="31">
        <v>6</v>
      </c>
    </row>
    <row r="15" spans="1:22" ht="12" customHeight="1">
      <c r="M15" s="3" t="s">
        <v>531</v>
      </c>
      <c r="N15" s="31">
        <f>IF(VLOOKUP(N$14,$N$6:$R$12,5,FALSE)=0,0,$O$1*$O$2/$O$3/VLOOKUP(N$14,$N$6:$R$12,5,FALSE))</f>
        <v>-5.2557877405521705</v>
      </c>
      <c r="O15" s="31">
        <f t="shared" ref="O15:T15" si="0">IF(VLOOKUP(O$14,$N$6:$R$12,5,FALSE)=0,0,$O$1*$O$2/$O$3/VLOOKUP(O$14,$N$6:$R$12,5,FALSE))</f>
        <v>0</v>
      </c>
      <c r="P15" s="31">
        <f t="shared" si="0"/>
        <v>34.162620313589102</v>
      </c>
      <c r="Q15" s="31">
        <f t="shared" si="0"/>
        <v>12.200935826281823</v>
      </c>
      <c r="R15" s="31">
        <f t="shared" si="0"/>
        <v>0</v>
      </c>
      <c r="S15" s="31">
        <f t="shared" si="0"/>
        <v>-12.200935826281823</v>
      </c>
      <c r="T15" s="31">
        <f t="shared" si="0"/>
        <v>-17.081310156794551</v>
      </c>
    </row>
    <row r="16" spans="1:22" ht="12" customHeight="1">
      <c r="B16" s="85" t="s">
        <v>499</v>
      </c>
      <c r="C16">
        <v>0</v>
      </c>
      <c r="D16">
        <v>15</v>
      </c>
      <c r="E16">
        <f t="shared" ref="E16:E43" si="1">IF(C16&gt;25000,2.488*((D16+273.1)/216.6)^-11.388,IF(C16&gt;11000,22.65*EXP(1.73-0.000157*C16),101.29*((D16+273.1)/288.08)^5.256))</f>
        <v>101.32696604401893</v>
      </c>
      <c r="F16">
        <f>E16/0.2869*(D16+273.1)</f>
        <v>101750.78047152967</v>
      </c>
      <c r="H16" s="77">
        <f>E16*100</f>
        <v>10132.696604401894</v>
      </c>
      <c r="I16" s="77">
        <f>D16</f>
        <v>15</v>
      </c>
      <c r="J16" s="77">
        <f>I16+273.15</f>
        <v>288.14999999999998</v>
      </c>
      <c r="K16" s="6">
        <f>($I$7/$I$1)*(((H16/$I$5)^(-$I$1*$I$2/$I$3))-1)+$I$4</f>
        <v>6.0748541795804858</v>
      </c>
      <c r="L16">
        <f>C16</f>
        <v>0</v>
      </c>
      <c r="N16">
        <f>(  - J16
+  (J16    /   ($H16 * 10    /     VLOOKUP(N$14,$N$6:$R$12,3,FALSE))^(1/N$15)  )
+   VLOOKUP(N$14,$N$6:$R$12,5,FALSE) *  VLOOKUP(N$14,$N$6:$R$12,2,FALSE) )
* (1 / VLOOKUP(N$14,$N$6:$R$12,5,FALSE))</f>
        <v>-0.16365929005902355</v>
      </c>
      <c r="O16">
        <f>N16*$U$4/($U$4-N16)</f>
        <v>-0.16365507664710016</v>
      </c>
    </row>
    <row r="17" spans="2:14" ht="12" customHeight="1">
      <c r="B17" s="86"/>
      <c r="C17">
        <v>1000</v>
      </c>
      <c r="D17">
        <f t="shared" ref="D17:D42" si="2">IF(C17&gt;25000,-131.21+0.00299*C17,IF(C17&gt;11000,-56.46,15.04-0.00649*C17))</f>
        <v>8.5499999999999989</v>
      </c>
      <c r="E17">
        <f t="shared" si="1"/>
        <v>89.958074047557346</v>
      </c>
      <c r="F17">
        <f t="shared" ref="F17:F43" si="3">E17/0.2869*(D17+273.1)</f>
        <v>88311.925951531986</v>
      </c>
      <c r="H17" s="77">
        <f t="shared" ref="H17:H66" si="4">E17*100</f>
        <v>8995.8074047557348</v>
      </c>
      <c r="I17" s="77">
        <f t="shared" ref="I17:I66" si="5">D17</f>
        <v>8.5499999999999989</v>
      </c>
      <c r="J17" s="77">
        <f t="shared" ref="J17:J66" si="6">I17+273.15</f>
        <v>281.7</v>
      </c>
      <c r="K17" s="6">
        <f t="shared" ref="K17:K66" si="7">($I$7/$I$1)*(((H17/$I$5)^(-$I$1*$I$2/$I$3))-1)+$I$4</f>
        <v>998.13049659390583</v>
      </c>
      <c r="L17">
        <f t="shared" ref="L17:L66" si="8">C17</f>
        <v>1000</v>
      </c>
      <c r="N17">
        <f t="shared" ref="N17:N35" si="9">(  - J17
+  (J17    /   ($H17 * 10    /     VLOOKUP(N$14,$N$6:$R$12,3,FALSE))^(1/N$15)  )
+   VLOOKUP(N$14,$N$6:$R$12,5,FALSE) *  VLOOKUP(N$14,$N$6:$R$12,2,FALSE) )
* (1 / VLOOKUP(N$14,$N$6:$R$12,5,FALSE))</f>
        <v>970.1463934950425</v>
      </c>
    </row>
    <row r="18" spans="2:14" ht="12" customHeight="1">
      <c r="B18" s="86"/>
      <c r="C18">
        <v>2000</v>
      </c>
      <c r="D18">
        <f t="shared" si="2"/>
        <v>2.0599999999999987</v>
      </c>
      <c r="E18">
        <f t="shared" si="1"/>
        <v>79.584045972258565</v>
      </c>
      <c r="F18">
        <f t="shared" si="3"/>
        <v>76327.45238663879</v>
      </c>
      <c r="H18" s="77">
        <f t="shared" si="4"/>
        <v>7958.4045972258564</v>
      </c>
      <c r="I18" s="77">
        <f t="shared" si="5"/>
        <v>2.0599999999999987</v>
      </c>
      <c r="J18" s="77">
        <f t="shared" si="6"/>
        <v>275.20999999999998</v>
      </c>
      <c r="K18" s="6">
        <f t="shared" si="7"/>
        <v>1996.3451599665777</v>
      </c>
      <c r="L18">
        <f t="shared" si="8"/>
        <v>2000</v>
      </c>
      <c r="N18">
        <f t="shared" si="9"/>
        <v>1901.6251715205847</v>
      </c>
    </row>
    <row r="19" spans="2:14" ht="12" customHeight="1">
      <c r="B19" s="86"/>
      <c r="C19">
        <v>3000</v>
      </c>
      <c r="D19">
        <f t="shared" si="2"/>
        <v>-4.43</v>
      </c>
      <c r="E19">
        <f t="shared" si="1"/>
        <v>70.200734976891411</v>
      </c>
      <c r="F19">
        <f t="shared" si="3"/>
        <v>65740.088763476539</v>
      </c>
      <c r="H19" s="77">
        <f t="shared" si="4"/>
        <v>7020.0734976891408</v>
      </c>
      <c r="I19" s="77">
        <f t="shared" si="5"/>
        <v>-4.43</v>
      </c>
      <c r="J19" s="77">
        <f t="shared" si="6"/>
        <v>268.71999999999997</v>
      </c>
      <c r="K19" s="6">
        <f t="shared" si="7"/>
        <v>2994.5667412380612</v>
      </c>
      <c r="L19">
        <f t="shared" si="8"/>
        <v>3000</v>
      </c>
      <c r="N19">
        <f t="shared" si="9"/>
        <v>2788.1166545100682</v>
      </c>
    </row>
    <row r="20" spans="2:14" ht="12" customHeight="1">
      <c r="B20" s="86"/>
      <c r="C20">
        <v>4000</v>
      </c>
      <c r="D20">
        <f t="shared" si="2"/>
        <v>-10.920000000000002</v>
      </c>
      <c r="E20">
        <f t="shared" si="1"/>
        <v>61.734076581570221</v>
      </c>
      <c r="F20">
        <f t="shared" si="3"/>
        <v>56414.918780606771</v>
      </c>
      <c r="H20" s="77">
        <f t="shared" si="4"/>
        <v>6173.4076581570225</v>
      </c>
      <c r="I20" s="77">
        <f t="shared" si="5"/>
        <v>-10.920000000000002</v>
      </c>
      <c r="J20" s="77">
        <f t="shared" si="6"/>
        <v>262.22999999999996</v>
      </c>
      <c r="K20" s="6">
        <f t="shared" si="7"/>
        <v>3992.7954075991497</v>
      </c>
      <c r="L20">
        <f t="shared" si="8"/>
        <v>4000</v>
      </c>
      <c r="N20">
        <f t="shared" si="9"/>
        <v>3629.6208858297955</v>
      </c>
    </row>
    <row r="21" spans="2:14" ht="12" customHeight="1">
      <c r="B21" s="86"/>
      <c r="C21">
        <v>5000</v>
      </c>
      <c r="D21">
        <f t="shared" si="2"/>
        <v>-17.410000000000004</v>
      </c>
      <c r="E21">
        <f t="shared" si="1"/>
        <v>54.11393400174844</v>
      </c>
      <c r="F21">
        <f t="shared" si="3"/>
        <v>48227.228249937471</v>
      </c>
      <c r="H21" s="77">
        <f t="shared" si="4"/>
        <v>5411.3934001748439</v>
      </c>
      <c r="I21" s="77">
        <f t="shared" si="5"/>
        <v>-17.410000000000004</v>
      </c>
      <c r="J21" s="77">
        <f t="shared" si="6"/>
        <v>255.73999999999998</v>
      </c>
      <c r="K21" s="6">
        <f t="shared" si="7"/>
        <v>4991.0313345216209</v>
      </c>
      <c r="L21">
        <f t="shared" si="8"/>
        <v>5000</v>
      </c>
      <c r="N21">
        <f t="shared" si="9"/>
        <v>4426.1379099065934</v>
      </c>
    </row>
    <row r="22" spans="2:14" ht="12" customHeight="1">
      <c r="B22" s="86"/>
      <c r="C22">
        <v>6000</v>
      </c>
      <c r="D22">
        <f t="shared" si="2"/>
        <v>-23.9</v>
      </c>
      <c r="E22">
        <f t="shared" si="1"/>
        <v>47.273979358715216</v>
      </c>
      <c r="F22">
        <f t="shared" si="3"/>
        <v>41061.957672331242</v>
      </c>
      <c r="H22" s="77">
        <f t="shared" si="4"/>
        <v>4727.3979358715214</v>
      </c>
      <c r="I22" s="77">
        <f t="shared" si="5"/>
        <v>-23.9</v>
      </c>
      <c r="J22" s="77">
        <f t="shared" si="6"/>
        <v>249.24999999999997</v>
      </c>
      <c r="K22" s="6">
        <f t="shared" si="7"/>
        <v>5989.2747063891757</v>
      </c>
      <c r="L22">
        <f t="shared" si="8"/>
        <v>6000</v>
      </c>
      <c r="N22">
        <f t="shared" si="9"/>
        <v>5177.6677722810227</v>
      </c>
    </row>
    <row r="23" spans="2:14" ht="12" customHeight="1">
      <c r="B23" s="86"/>
      <c r="C23">
        <v>7000</v>
      </c>
      <c r="D23">
        <f t="shared" si="2"/>
        <v>-30.39</v>
      </c>
      <c r="E23">
        <f t="shared" si="1"/>
        <v>41.151575640664362</v>
      </c>
      <c r="F23">
        <f t="shared" si="3"/>
        <v>34813.171571089748</v>
      </c>
      <c r="H23" s="77">
        <f t="shared" si="4"/>
        <v>4115.157564066436</v>
      </c>
      <c r="I23" s="77">
        <f t="shared" si="5"/>
        <v>-30.39</v>
      </c>
      <c r="J23" s="77">
        <f t="shared" si="6"/>
        <v>242.76</v>
      </c>
      <c r="K23" s="6">
        <f t="shared" si="7"/>
        <v>6987.5257171940411</v>
      </c>
      <c r="L23">
        <f t="shared" si="8"/>
        <v>7000</v>
      </c>
      <c r="N23">
        <f t="shared" si="9"/>
        <v>5884.2105196646125</v>
      </c>
    </row>
    <row r="24" spans="2:14" ht="12" customHeight="1">
      <c r="B24" s="86"/>
      <c r="C24">
        <v>8000</v>
      </c>
      <c r="D24">
        <f t="shared" si="2"/>
        <v>-36.880000000000003</v>
      </c>
      <c r="E24">
        <f t="shared" si="1"/>
        <v>35.687659428470766</v>
      </c>
      <c r="F24">
        <f t="shared" si="3"/>
        <v>29383.54447610096</v>
      </c>
      <c r="H24" s="77">
        <f t="shared" si="4"/>
        <v>3568.7659428470765</v>
      </c>
      <c r="I24" s="77">
        <f t="shared" si="5"/>
        <v>-36.880000000000003</v>
      </c>
      <c r="J24" s="77">
        <f t="shared" si="6"/>
        <v>236.26999999999998</v>
      </c>
      <c r="K24" s="6">
        <f t="shared" si="7"/>
        <v>7985.784571308257</v>
      </c>
      <c r="L24">
        <f t="shared" si="8"/>
        <v>8000</v>
      </c>
      <c r="N24">
        <f t="shared" si="9"/>
        <v>6545.7662000017426</v>
      </c>
    </row>
    <row r="25" spans="2:14" ht="12" customHeight="1">
      <c r="B25" s="86"/>
      <c r="C25">
        <v>9000</v>
      </c>
      <c r="D25">
        <f t="shared" si="2"/>
        <v>-43.370000000000005</v>
      </c>
      <c r="E25">
        <f t="shared" si="1"/>
        <v>30.82662440095255</v>
      </c>
      <c r="F25">
        <f t="shared" si="3"/>
        <v>24683.863449392928</v>
      </c>
      <c r="H25" s="77">
        <f t="shared" si="4"/>
        <v>3082.6624400952551</v>
      </c>
      <c r="I25" s="77">
        <f t="shared" si="5"/>
        <v>-43.370000000000005</v>
      </c>
      <c r="J25" s="77">
        <f t="shared" si="6"/>
        <v>229.77999999999997</v>
      </c>
      <c r="K25" s="6">
        <f t="shared" si="7"/>
        <v>8984.0514843396595</v>
      </c>
      <c r="L25">
        <f t="shared" si="8"/>
        <v>9000</v>
      </c>
      <c r="N25">
        <f t="shared" si="9"/>
        <v>7162.334862536467</v>
      </c>
    </row>
    <row r="26" spans="2:14" ht="12" customHeight="1">
      <c r="B26" s="86"/>
      <c r="C26">
        <v>10000</v>
      </c>
      <c r="D26">
        <f t="shared" si="2"/>
        <v>-49.860000000000007</v>
      </c>
      <c r="E26">
        <f t="shared" si="1"/>
        <v>26.516205635082187</v>
      </c>
      <c r="F26">
        <f t="shared" si="3"/>
        <v>20632.547040696227</v>
      </c>
      <c r="H26" s="77">
        <f t="shared" si="4"/>
        <v>2651.6205635082188</v>
      </c>
      <c r="I26" s="77">
        <f t="shared" si="5"/>
        <v>-49.860000000000007</v>
      </c>
      <c r="J26" s="77">
        <f t="shared" si="6"/>
        <v>223.28999999999996</v>
      </c>
      <c r="K26" s="6">
        <f t="shared" si="7"/>
        <v>9982.3266840847518</v>
      </c>
      <c r="L26">
        <f t="shared" si="8"/>
        <v>10000</v>
      </c>
      <c r="N26">
        <f t="shared" si="9"/>
        <v>7733.9165578849415</v>
      </c>
    </row>
    <row r="27" spans="2:14" ht="12" customHeight="1">
      <c r="B27" s="87" t="s">
        <v>500</v>
      </c>
      <c r="C27">
        <v>11000</v>
      </c>
      <c r="D27">
        <f t="shared" si="2"/>
        <v>-56.35</v>
      </c>
      <c r="E27">
        <f t="shared" si="1"/>
        <v>22.707364717350817</v>
      </c>
      <c r="F27">
        <f t="shared" si="3"/>
        <v>17155.180559378845</v>
      </c>
      <c r="H27" s="77">
        <f t="shared" si="4"/>
        <v>2270.7364717350815</v>
      </c>
      <c r="I27" s="77">
        <f t="shared" si="5"/>
        <v>-56.35</v>
      </c>
      <c r="J27" s="77">
        <f t="shared" si="6"/>
        <v>216.79999999999998</v>
      </c>
      <c r="K27" s="6">
        <f t="shared" si="7"/>
        <v>10980.610411592412</v>
      </c>
      <c r="L27">
        <f t="shared" si="8"/>
        <v>11000</v>
      </c>
      <c r="N27">
        <f t="shared" si="9"/>
        <v>8260.5113381141164</v>
      </c>
    </row>
    <row r="28" spans="2:14" ht="12" customHeight="1">
      <c r="B28" s="88"/>
      <c r="C28">
        <v>12000</v>
      </c>
      <c r="D28">
        <f t="shared" si="2"/>
        <v>-56.46</v>
      </c>
      <c r="E28">
        <f t="shared" si="1"/>
        <v>19.417211275909512</v>
      </c>
      <c r="F28">
        <f t="shared" si="3"/>
        <v>14662.058734099119</v>
      </c>
      <c r="H28" s="77">
        <f t="shared" si="4"/>
        <v>1941.7211275909513</v>
      </c>
      <c r="I28" s="77">
        <f t="shared" si="5"/>
        <v>-56.46</v>
      </c>
      <c r="J28" s="77">
        <f t="shared" si="6"/>
        <v>216.68999999999997</v>
      </c>
      <c r="K28" s="6">
        <f t="shared" si="7"/>
        <v>11958.88792406689</v>
      </c>
      <c r="L28">
        <f t="shared" si="8"/>
        <v>12000</v>
      </c>
      <c r="N28">
        <f t="shared" si="9"/>
        <v>8992.2647471515193</v>
      </c>
    </row>
    <row r="29" spans="2:14" ht="12" customHeight="1">
      <c r="B29" s="88"/>
      <c r="C29">
        <v>13000</v>
      </c>
      <c r="D29">
        <f t="shared" si="2"/>
        <v>-56.46</v>
      </c>
      <c r="E29">
        <f t="shared" si="1"/>
        <v>16.595969288440383</v>
      </c>
      <c r="F29">
        <f t="shared" si="3"/>
        <v>12531.721110657807</v>
      </c>
      <c r="H29" s="77">
        <f t="shared" si="4"/>
        <v>1659.5969288440383</v>
      </c>
      <c r="I29" s="77">
        <f t="shared" si="5"/>
        <v>-56.46</v>
      </c>
      <c r="J29" s="77">
        <f t="shared" si="6"/>
        <v>216.68999999999997</v>
      </c>
      <c r="K29" s="6">
        <f t="shared" si="7"/>
        <v>12911.28124242155</v>
      </c>
      <c r="L29">
        <f t="shared" si="8"/>
        <v>13000</v>
      </c>
      <c r="N29">
        <f t="shared" si="9"/>
        <v>9708.7299130136289</v>
      </c>
    </row>
    <row r="30" spans="2:14" ht="12" customHeight="1">
      <c r="B30" s="88"/>
      <c r="C30">
        <v>14000</v>
      </c>
      <c r="D30">
        <f t="shared" si="2"/>
        <v>-56.46</v>
      </c>
      <c r="E30">
        <f t="shared" si="1"/>
        <v>14.184642310843641</v>
      </c>
      <c r="F30">
        <f t="shared" si="3"/>
        <v>10710.912897250493</v>
      </c>
      <c r="H30" s="77">
        <f t="shared" si="4"/>
        <v>1418.464231084364</v>
      </c>
      <c r="I30" s="77">
        <f t="shared" si="5"/>
        <v>-56.46</v>
      </c>
      <c r="J30" s="77">
        <f t="shared" si="6"/>
        <v>216.68999999999997</v>
      </c>
      <c r="K30" s="6">
        <f t="shared" si="7"/>
        <v>13835.654779526772</v>
      </c>
      <c r="L30">
        <f t="shared" si="8"/>
        <v>14000</v>
      </c>
      <c r="N30">
        <f t="shared" si="9"/>
        <v>10404.109453974359</v>
      </c>
    </row>
    <row r="31" spans="2:14" ht="12" customHeight="1">
      <c r="B31" s="88"/>
      <c r="C31">
        <v>15000</v>
      </c>
      <c r="D31">
        <f t="shared" si="2"/>
        <v>-56.46</v>
      </c>
      <c r="E31">
        <f t="shared" si="1"/>
        <v>12.123671355955128</v>
      </c>
      <c r="F31">
        <f t="shared" si="3"/>
        <v>9154.6607269226879</v>
      </c>
      <c r="H31" s="77">
        <f t="shared" si="4"/>
        <v>1212.3671355955128</v>
      </c>
      <c r="I31" s="77">
        <f t="shared" si="5"/>
        <v>-56.46</v>
      </c>
      <c r="J31" s="77">
        <f t="shared" si="6"/>
        <v>216.68999999999997</v>
      </c>
      <c r="K31" s="6">
        <f t="shared" si="7"/>
        <v>14732.832888227267</v>
      </c>
      <c r="L31">
        <f t="shared" si="8"/>
        <v>15000</v>
      </c>
      <c r="N31">
        <f t="shared" si="9"/>
        <v>11079.023921595268</v>
      </c>
    </row>
    <row r="32" spans="2:14" ht="12" customHeight="1">
      <c r="B32" s="88"/>
      <c r="C32">
        <v>16000</v>
      </c>
      <c r="D32">
        <f t="shared" si="2"/>
        <v>-56.46</v>
      </c>
      <c r="E32">
        <f t="shared" si="1"/>
        <v>10.362151115706554</v>
      </c>
      <c r="F32">
        <f t="shared" si="3"/>
        <v>7824.5256803996808</v>
      </c>
      <c r="H32" s="77">
        <f t="shared" si="4"/>
        <v>1036.2151115706554</v>
      </c>
      <c r="I32" s="77">
        <f t="shared" si="5"/>
        <v>-56.46</v>
      </c>
      <c r="J32" s="77">
        <f t="shared" si="6"/>
        <v>216.68999999999997</v>
      </c>
      <c r="K32" s="6">
        <f t="shared" si="7"/>
        <v>15603.615668586939</v>
      </c>
      <c r="L32">
        <f t="shared" si="8"/>
        <v>16000</v>
      </c>
      <c r="N32">
        <f t="shared" si="9"/>
        <v>11734.07560455778</v>
      </c>
    </row>
    <row r="33" spans="2:14" ht="12" customHeight="1">
      <c r="B33" s="88"/>
      <c r="C33" s="64">
        <v>17000</v>
      </c>
      <c r="D33" s="65">
        <f t="shared" si="2"/>
        <v>-56.46</v>
      </c>
      <c r="E33" s="65">
        <f t="shared" si="1"/>
        <v>8.8565726166765959</v>
      </c>
      <c r="F33" s="66">
        <f t="shared" si="3"/>
        <v>6687.653857360815</v>
      </c>
      <c r="H33" s="77">
        <f t="shared" si="4"/>
        <v>885.65726166765955</v>
      </c>
      <c r="I33" s="77">
        <f t="shared" si="5"/>
        <v>-56.46</v>
      </c>
      <c r="J33" s="77">
        <f t="shared" si="6"/>
        <v>216.68999999999997</v>
      </c>
      <c r="K33" s="6">
        <f t="shared" si="7"/>
        <v>16448.779681415137</v>
      </c>
      <c r="L33">
        <f t="shared" si="8"/>
        <v>17000</v>
      </c>
      <c r="N33">
        <f t="shared" si="9"/>
        <v>12369.849066141092</v>
      </c>
    </row>
    <row r="34" spans="2:14" ht="12" customHeight="1">
      <c r="B34" s="88"/>
      <c r="C34">
        <v>18000</v>
      </c>
      <c r="D34">
        <f t="shared" si="2"/>
        <v>-56.46</v>
      </c>
      <c r="E34">
        <f t="shared" si="1"/>
        <v>7.5697485626870522</v>
      </c>
      <c r="F34">
        <f t="shared" si="3"/>
        <v>5715.9648958540374</v>
      </c>
      <c r="H34" s="77">
        <f t="shared" si="4"/>
        <v>756.97485626870525</v>
      </c>
      <c r="I34" s="77">
        <f t="shared" si="5"/>
        <v>-56.46</v>
      </c>
      <c r="J34" s="77">
        <f t="shared" si="6"/>
        <v>216.68999999999997</v>
      </c>
      <c r="K34" s="6">
        <f t="shared" si="7"/>
        <v>17269.078640800653</v>
      </c>
      <c r="L34">
        <f t="shared" si="8"/>
        <v>18000</v>
      </c>
      <c r="N34">
        <f t="shared" si="9"/>
        <v>12986.911665882211</v>
      </c>
    </row>
    <row r="35" spans="2:14" ht="12" customHeight="1">
      <c r="B35" s="88"/>
      <c r="C35">
        <v>19000</v>
      </c>
      <c r="D35">
        <f t="shared" si="2"/>
        <v>-56.46</v>
      </c>
      <c r="E35">
        <f t="shared" si="1"/>
        <v>6.4698948207579621</v>
      </c>
      <c r="F35">
        <f t="shared" si="3"/>
        <v>4885.4583965458523</v>
      </c>
      <c r="H35" s="77">
        <f t="shared" si="4"/>
        <v>646.98948207579622</v>
      </c>
      <c r="I35" s="77">
        <f t="shared" si="5"/>
        <v>-56.46</v>
      </c>
      <c r="J35" s="77">
        <f t="shared" si="6"/>
        <v>216.68999999999997</v>
      </c>
      <c r="K35" s="6">
        <f t="shared" si="7"/>
        <v>18065.244086271105</v>
      </c>
      <c r="L35">
        <f t="shared" si="8"/>
        <v>19000</v>
      </c>
      <c r="N35">
        <f t="shared" si="9"/>
        <v>13585.81406588332</v>
      </c>
    </row>
    <row r="36" spans="2:14" ht="12" customHeight="1">
      <c r="B36" s="88"/>
      <c r="C36">
        <v>20000</v>
      </c>
      <c r="D36">
        <f t="shared" si="2"/>
        <v>-56.46</v>
      </c>
      <c r="E36">
        <f t="shared" si="1"/>
        <v>5.5298453634253519</v>
      </c>
      <c r="F36">
        <f t="shared" si="3"/>
        <v>4175.6211207126817</v>
      </c>
      <c r="H36" s="77">
        <f t="shared" si="4"/>
        <v>552.98453634253519</v>
      </c>
      <c r="I36" s="77">
        <f t="shared" si="5"/>
        <v>-56.46</v>
      </c>
      <c r="J36" s="77">
        <f t="shared" si="6"/>
        <v>216.68999999999997</v>
      </c>
      <c r="K36" s="6">
        <f t="shared" si="7"/>
        <v>18837.986035177149</v>
      </c>
      <c r="L36">
        <f t="shared" si="8"/>
        <v>20000</v>
      </c>
    </row>
    <row r="37" spans="2:14" ht="12" customHeight="1">
      <c r="B37" s="88"/>
      <c r="C37">
        <v>21000</v>
      </c>
      <c r="D37">
        <f t="shared" si="2"/>
        <v>-56.46</v>
      </c>
      <c r="E37">
        <f t="shared" si="1"/>
        <v>4.7263812767538038</v>
      </c>
      <c r="F37">
        <f t="shared" si="3"/>
        <v>3568.9203199579792</v>
      </c>
      <c r="H37" s="77">
        <f t="shared" si="4"/>
        <v>472.63812767538036</v>
      </c>
      <c r="I37" s="77">
        <f t="shared" si="5"/>
        <v>-56.46</v>
      </c>
      <c r="J37" s="77">
        <f t="shared" si="6"/>
        <v>216.68999999999997</v>
      </c>
      <c r="K37" s="6">
        <f t="shared" si="7"/>
        <v>19587.993615883282</v>
      </c>
      <c r="L37">
        <f t="shared" si="8"/>
        <v>21000</v>
      </c>
    </row>
    <row r="38" spans="2:14" ht="12" customHeight="1">
      <c r="B38" s="88"/>
      <c r="C38">
        <v>22000</v>
      </c>
      <c r="D38">
        <f t="shared" si="2"/>
        <v>-56.46</v>
      </c>
      <c r="E38">
        <f t="shared" si="1"/>
        <v>4.0396572607613894</v>
      </c>
      <c r="F38">
        <f t="shared" si="3"/>
        <v>3050.3706830649967</v>
      </c>
      <c r="H38" s="77">
        <f t="shared" si="4"/>
        <v>403.96572607613894</v>
      </c>
      <c r="I38" s="77">
        <f t="shared" si="5"/>
        <v>-56.46</v>
      </c>
      <c r="J38" s="77">
        <f t="shared" si="6"/>
        <v>216.68999999999997</v>
      </c>
      <c r="K38" s="6">
        <f t="shared" si="7"/>
        <v>20315.935682329917</v>
      </c>
      <c r="L38">
        <f t="shared" si="8"/>
        <v>22000</v>
      </c>
    </row>
    <row r="39" spans="2:14" ht="12" customHeight="1">
      <c r="B39" s="88"/>
      <c r="C39">
        <v>23000</v>
      </c>
      <c r="D39">
        <f t="shared" si="2"/>
        <v>-56.46</v>
      </c>
      <c r="E39">
        <f t="shared" si="1"/>
        <v>3.4527114570050905</v>
      </c>
      <c r="F39">
        <f t="shared" si="3"/>
        <v>2607.1642037141264</v>
      </c>
      <c r="H39" s="77">
        <f t="shared" si="4"/>
        <v>345.27114570050907</v>
      </c>
      <c r="I39" s="77">
        <f t="shared" si="5"/>
        <v>-56.46</v>
      </c>
      <c r="J39" s="77">
        <f t="shared" si="6"/>
        <v>216.68999999999997</v>
      </c>
      <c r="K39" s="6">
        <f t="shared" si="7"/>
        <v>21022.461410514814</v>
      </c>
      <c r="L39">
        <f t="shared" si="8"/>
        <v>23000</v>
      </c>
    </row>
    <row r="40" spans="2:14" ht="12" customHeight="1">
      <c r="B40" s="88"/>
      <c r="C40">
        <v>24000</v>
      </c>
      <c r="D40">
        <f t="shared" si="2"/>
        <v>-56.46</v>
      </c>
      <c r="E40">
        <f t="shared" si="1"/>
        <v>2.9510464962285741</v>
      </c>
      <c r="F40">
        <f t="shared" si="3"/>
        <v>2228.3538269186415</v>
      </c>
      <c r="H40" s="77">
        <f t="shared" si="4"/>
        <v>295.10464962285738</v>
      </c>
      <c r="I40" s="77">
        <f t="shared" si="5"/>
        <v>-56.46</v>
      </c>
      <c r="J40" s="77">
        <f t="shared" si="6"/>
        <v>216.68999999999997</v>
      </c>
      <c r="K40" s="6">
        <f t="shared" si="7"/>
        <v>21708.20087742581</v>
      </c>
      <c r="L40">
        <f t="shared" si="8"/>
        <v>24000</v>
      </c>
    </row>
    <row r="41" spans="2:14" ht="12" customHeight="1">
      <c r="B41" s="89"/>
      <c r="C41">
        <v>25000</v>
      </c>
      <c r="D41">
        <f t="shared" si="2"/>
        <v>-56.46</v>
      </c>
      <c r="E41">
        <f t="shared" si="1"/>
        <v>2.5222714180862709</v>
      </c>
      <c r="F41">
        <f t="shared" si="3"/>
        <v>1904.5830603492846</v>
      </c>
      <c r="H41" s="77">
        <f t="shared" si="4"/>
        <v>252.2271418086271</v>
      </c>
      <c r="I41" s="77">
        <f t="shared" si="5"/>
        <v>-56.46</v>
      </c>
      <c r="J41" s="77">
        <f t="shared" si="6"/>
        <v>216.68999999999997</v>
      </c>
      <c r="K41" s="6">
        <f t="shared" si="7"/>
        <v>22373.765622941079</v>
      </c>
      <c r="L41">
        <f t="shared" si="8"/>
        <v>25000</v>
      </c>
    </row>
    <row r="42" spans="2:14" ht="12" customHeight="1">
      <c r="B42" s="90" t="s">
        <v>501</v>
      </c>
      <c r="C42">
        <v>26000</v>
      </c>
      <c r="D42">
        <f t="shared" si="2"/>
        <v>-53.470000000000013</v>
      </c>
      <c r="E42">
        <f t="shared" si="1"/>
        <v>2.1239495105053972</v>
      </c>
      <c r="F42">
        <f t="shared" si="3"/>
        <v>1625.9429452502627</v>
      </c>
      <c r="H42" s="77">
        <f t="shared" si="4"/>
        <v>212.3949510505397</v>
      </c>
      <c r="I42" s="77">
        <f t="shared" si="5"/>
        <v>-53.470000000000013</v>
      </c>
      <c r="J42" s="77">
        <f t="shared" si="6"/>
        <v>219.67999999999995</v>
      </c>
      <c r="K42" s="6">
        <f t="shared" si="7"/>
        <v>23079.988950963161</v>
      </c>
      <c r="L42">
        <f t="shared" si="8"/>
        <v>26000</v>
      </c>
    </row>
    <row r="43" spans="2:14" ht="12" customHeight="1">
      <c r="B43" s="91"/>
      <c r="C43">
        <v>27000</v>
      </c>
      <c r="D43">
        <f>IF(C43&gt;25000,-131.21+0.00299*C43,IF(C43&gt;11000,-56.46,15.04-0.00649*C43))</f>
        <v>-50.480000000000004</v>
      </c>
      <c r="E43">
        <f t="shared" si="1"/>
        <v>1.8208239906868695</v>
      </c>
      <c r="F43">
        <f t="shared" si="3"/>
        <v>1412.8680265134574</v>
      </c>
      <c r="H43" s="77">
        <f t="shared" si="4"/>
        <v>182.08239906868695</v>
      </c>
      <c r="I43" s="77">
        <f t="shared" si="5"/>
        <v>-50.480000000000004</v>
      </c>
      <c r="J43" s="77">
        <f t="shared" si="6"/>
        <v>222.66999999999996</v>
      </c>
      <c r="K43" s="6">
        <f t="shared" si="7"/>
        <v>23693.376318865063</v>
      </c>
      <c r="L43">
        <f t="shared" si="8"/>
        <v>27000</v>
      </c>
    </row>
    <row r="44" spans="2:14" ht="12" customHeight="1">
      <c r="B44" s="91"/>
      <c r="C44">
        <v>28000</v>
      </c>
      <c r="D44">
        <f t="shared" ref="D44:D66" si="10">IF(C44&gt;25000,-131.21+0.00299*C44,IF(C44&gt;11000,-56.46,15.04-0.00649*C44))</f>
        <v>-47.490000000000009</v>
      </c>
      <c r="E44">
        <f t="shared" ref="E44:E66" si="11">IF(C44&gt;25000,2.488*((D44+273.1)/216.6)^-11.388,IF(C44&gt;11000,22.65*EXP(1.73-0.000157*C44),101.29*((D44+273.1)/288.08)^5.256))</f>
        <v>1.5641701431725517</v>
      </c>
      <c r="F44">
        <f t="shared" ref="F44:F66" si="12">E44/0.2869*(D44+273.1)</f>
        <v>1230.0189125171119</v>
      </c>
      <c r="H44" s="77">
        <f t="shared" si="4"/>
        <v>156.41701431725517</v>
      </c>
      <c r="I44" s="77">
        <f t="shared" si="5"/>
        <v>-47.490000000000009</v>
      </c>
      <c r="J44" s="77">
        <f t="shared" si="6"/>
        <v>225.65999999999997</v>
      </c>
      <c r="K44" s="6">
        <f t="shared" si="7"/>
        <v>24281.22556802721</v>
      </c>
      <c r="L44">
        <f t="shared" si="8"/>
        <v>28000</v>
      </c>
    </row>
    <row r="45" spans="2:14" ht="12" customHeight="1">
      <c r="B45" s="91"/>
      <c r="C45">
        <v>29000</v>
      </c>
      <c r="D45">
        <f t="shared" si="10"/>
        <v>-44.5</v>
      </c>
      <c r="E45">
        <f t="shared" si="11"/>
        <v>1.3463834616435575</v>
      </c>
      <c r="F45">
        <f t="shared" si="12"/>
        <v>1072.7893319334864</v>
      </c>
      <c r="H45" s="77">
        <f t="shared" si="4"/>
        <v>134.63834616435574</v>
      </c>
      <c r="I45" s="77">
        <f t="shared" si="5"/>
        <v>-44.5</v>
      </c>
      <c r="J45" s="77">
        <f t="shared" si="6"/>
        <v>228.64999999999998</v>
      </c>
      <c r="K45" s="6">
        <f t="shared" si="7"/>
        <v>24844.917620968801</v>
      </c>
      <c r="L45">
        <f t="shared" si="8"/>
        <v>29000</v>
      </c>
    </row>
    <row r="46" spans="2:14" ht="12" customHeight="1">
      <c r="B46" s="91"/>
      <c r="C46">
        <v>30000</v>
      </c>
      <c r="D46">
        <f t="shared" si="10"/>
        <v>-41.510000000000005</v>
      </c>
      <c r="E46">
        <f t="shared" si="11"/>
        <v>1.1611804550763667</v>
      </c>
      <c r="F46">
        <f t="shared" si="12"/>
        <v>937.32234782549961</v>
      </c>
      <c r="H46" s="77">
        <f t="shared" si="4"/>
        <v>116.11804550763667</v>
      </c>
      <c r="I46" s="77">
        <f t="shared" si="5"/>
        <v>-41.510000000000005</v>
      </c>
      <c r="J46" s="77">
        <f t="shared" si="6"/>
        <v>231.64</v>
      </c>
      <c r="K46" s="6">
        <f t="shared" si="7"/>
        <v>25385.741993795593</v>
      </c>
      <c r="L46">
        <f t="shared" si="8"/>
        <v>30000</v>
      </c>
    </row>
    <row r="47" spans="2:14" ht="12" customHeight="1">
      <c r="B47" s="91"/>
      <c r="C47">
        <v>31000</v>
      </c>
      <c r="D47">
        <f t="shared" si="10"/>
        <v>-38.52000000000001</v>
      </c>
      <c r="E47">
        <f t="shared" si="11"/>
        <v>1.003356176022657</v>
      </c>
      <c r="F47">
        <f t="shared" si="12"/>
        <v>820.38094029764693</v>
      </c>
      <c r="H47" s="77">
        <f t="shared" si="4"/>
        <v>100.3356176022657</v>
      </c>
      <c r="I47" s="77">
        <f t="shared" si="5"/>
        <v>-38.52000000000001</v>
      </c>
      <c r="J47" s="77">
        <f t="shared" si="6"/>
        <v>234.62999999999997</v>
      </c>
      <c r="K47" s="6">
        <f t="shared" si="7"/>
        <v>25904.903926317907</v>
      </c>
      <c r="L47">
        <f t="shared" si="8"/>
        <v>31000</v>
      </c>
    </row>
    <row r="48" spans="2:14" ht="12" customHeight="1">
      <c r="B48" s="91"/>
      <c r="C48">
        <v>32000</v>
      </c>
      <c r="D48">
        <f t="shared" si="10"/>
        <v>-35.53</v>
      </c>
      <c r="E48">
        <f t="shared" si="11"/>
        <v>0.86858858237830583</v>
      </c>
      <c r="F48">
        <f t="shared" si="12"/>
        <v>719.24220814086493</v>
      </c>
      <c r="H48" s="77">
        <f t="shared" si="4"/>
        <v>86.858858237830589</v>
      </c>
      <c r="I48" s="77">
        <f t="shared" si="5"/>
        <v>-35.53</v>
      </c>
      <c r="J48" s="77">
        <f t="shared" si="6"/>
        <v>237.61999999999998</v>
      </c>
      <c r="K48" s="6">
        <f t="shared" si="7"/>
        <v>26403.53087387075</v>
      </c>
      <c r="L48">
        <f t="shared" si="8"/>
        <v>32000</v>
      </c>
    </row>
    <row r="49" spans="2:12" ht="12" customHeight="1">
      <c r="B49" s="91"/>
      <c r="C49">
        <v>33000</v>
      </c>
      <c r="D49">
        <f t="shared" si="10"/>
        <v>-32.540000000000006</v>
      </c>
      <c r="E49">
        <f t="shared" si="11"/>
        <v>0.75328024766645352</v>
      </c>
      <c r="F49">
        <f t="shared" si="12"/>
        <v>631.61065311482071</v>
      </c>
      <c r="H49" s="77">
        <f t="shared" si="4"/>
        <v>75.328024766645356</v>
      </c>
      <c r="I49" s="77">
        <f t="shared" si="5"/>
        <v>-32.540000000000006</v>
      </c>
      <c r="J49" s="77">
        <f t="shared" si="6"/>
        <v>240.60999999999996</v>
      </c>
      <c r="K49" s="6">
        <f t="shared" si="7"/>
        <v>26882.678425146587</v>
      </c>
      <c r="L49">
        <f t="shared" si="8"/>
        <v>33000</v>
      </c>
    </row>
    <row r="50" spans="2:12" ht="12" customHeight="1">
      <c r="B50" s="91"/>
      <c r="C50">
        <v>34000</v>
      </c>
      <c r="D50">
        <f t="shared" si="10"/>
        <v>-29.550000000000011</v>
      </c>
      <c r="E50">
        <f t="shared" si="11"/>
        <v>0.65442994266684251</v>
      </c>
      <c r="F50">
        <f t="shared" si="12"/>
        <v>555.54692414259159</v>
      </c>
      <c r="H50" s="77">
        <f t="shared" si="4"/>
        <v>65.442994266684252</v>
      </c>
      <c r="I50" s="77">
        <f t="shared" si="5"/>
        <v>-29.550000000000011</v>
      </c>
      <c r="J50" s="77">
        <f t="shared" si="6"/>
        <v>243.59999999999997</v>
      </c>
      <c r="K50" s="6">
        <f t="shared" si="7"/>
        <v>27343.335703167693</v>
      </c>
      <c r="L50">
        <f t="shared" si="8"/>
        <v>34000</v>
      </c>
    </row>
    <row r="51" spans="2:12" ht="12" customHeight="1">
      <c r="B51" s="91"/>
      <c r="C51">
        <v>35000</v>
      </c>
      <c r="D51">
        <f t="shared" si="10"/>
        <v>-26.560000000000002</v>
      </c>
      <c r="E51">
        <f t="shared" si="11"/>
        <v>0.56952817604806694</v>
      </c>
      <c r="F51">
        <f t="shared" si="12"/>
        <v>489.40911998219048</v>
      </c>
      <c r="H51" s="77">
        <f t="shared" si="4"/>
        <v>56.952817604806697</v>
      </c>
      <c r="I51" s="77">
        <f t="shared" si="5"/>
        <v>-26.560000000000002</v>
      </c>
      <c r="J51" s="77">
        <f t="shared" si="6"/>
        <v>246.58999999999997</v>
      </c>
      <c r="K51" s="6">
        <f t="shared" si="7"/>
        <v>27786.430300219512</v>
      </c>
      <c r="L51">
        <f t="shared" si="8"/>
        <v>35000</v>
      </c>
    </row>
    <row r="52" spans="2:12" ht="12" customHeight="1">
      <c r="B52" s="91"/>
      <c r="C52">
        <v>36000</v>
      </c>
      <c r="D52">
        <f t="shared" si="10"/>
        <v>-23.570000000000007</v>
      </c>
      <c r="E52">
        <f t="shared" si="11"/>
        <v>0.49647200510984218</v>
      </c>
      <c r="F52">
        <f t="shared" si="12"/>
        <v>431.80432009431485</v>
      </c>
      <c r="H52" s="77">
        <f t="shared" si="4"/>
        <v>49.64720051098422</v>
      </c>
      <c r="I52" s="77">
        <f t="shared" si="5"/>
        <v>-23.570000000000007</v>
      </c>
      <c r="J52" s="77">
        <f t="shared" si="6"/>
        <v>249.57999999999998</v>
      </c>
      <c r="K52" s="6">
        <f t="shared" si="7"/>
        <v>28212.83279202459</v>
      </c>
      <c r="L52">
        <f t="shared" si="8"/>
        <v>36000</v>
      </c>
    </row>
    <row r="53" spans="2:12" ht="12" customHeight="1">
      <c r="B53" s="91"/>
      <c r="C53">
        <v>37000</v>
      </c>
      <c r="D53">
        <f t="shared" si="10"/>
        <v>-20.580000000000013</v>
      </c>
      <c r="E53">
        <f t="shared" si="11"/>
        <v>0.43349538725281367</v>
      </c>
      <c r="F53">
        <f t="shared" si="12"/>
        <v>381.54846702363375</v>
      </c>
      <c r="H53" s="77">
        <f t="shared" si="4"/>
        <v>43.34953872528137</v>
      </c>
      <c r="I53" s="77">
        <f t="shared" si="5"/>
        <v>-20.580000000000013</v>
      </c>
      <c r="J53" s="77">
        <f t="shared" si="6"/>
        <v>252.56999999999996</v>
      </c>
      <c r="K53" s="6">
        <f t="shared" si="7"/>
        <v>28623.360871556473</v>
      </c>
      <c r="L53">
        <f t="shared" si="8"/>
        <v>37000</v>
      </c>
    </row>
    <row r="54" spans="2:12" ht="12" customHeight="1">
      <c r="B54" s="91"/>
      <c r="C54">
        <v>38000</v>
      </c>
      <c r="D54">
        <f t="shared" si="10"/>
        <v>-17.590000000000003</v>
      </c>
      <c r="E54">
        <f t="shared" si="11"/>
        <v>0.37911209757648506</v>
      </c>
      <c r="F54">
        <f t="shared" si="12"/>
        <v>337.63308487893943</v>
      </c>
      <c r="H54" s="77">
        <f t="shared" si="4"/>
        <v>37.911209757648507</v>
      </c>
      <c r="I54" s="77">
        <f t="shared" si="5"/>
        <v>-17.590000000000003</v>
      </c>
      <c r="J54" s="77">
        <f t="shared" si="6"/>
        <v>255.55999999999997</v>
      </c>
      <c r="K54" s="6">
        <f t="shared" si="7"/>
        <v>29018.783138589912</v>
      </c>
      <c r="L54">
        <f t="shared" si="8"/>
        <v>38000</v>
      </c>
    </row>
    <row r="55" spans="2:12" ht="12" customHeight="1">
      <c r="B55" s="91"/>
      <c r="C55">
        <v>39000</v>
      </c>
      <c r="D55">
        <f t="shared" si="10"/>
        <v>-14.600000000000009</v>
      </c>
      <c r="E55">
        <f t="shared" si="11"/>
        <v>0.33206883349188848</v>
      </c>
      <c r="F55">
        <f t="shared" si="12"/>
        <v>299.19760703260084</v>
      </c>
      <c r="H55" s="77">
        <f t="shared" si="4"/>
        <v>33.20688334918885</v>
      </c>
      <c r="I55" s="77">
        <f t="shared" si="5"/>
        <v>-14.600000000000009</v>
      </c>
      <c r="J55" s="77">
        <f t="shared" si="6"/>
        <v>258.54999999999995</v>
      </c>
      <c r="K55" s="6">
        <f t="shared" si="7"/>
        <v>29399.822577282575</v>
      </c>
      <c r="L55">
        <f t="shared" si="8"/>
        <v>39000</v>
      </c>
    </row>
    <row r="56" spans="2:12" ht="12" customHeight="1">
      <c r="B56" s="91"/>
      <c r="C56">
        <v>40000</v>
      </c>
      <c r="D56">
        <f t="shared" si="10"/>
        <v>-11.61</v>
      </c>
      <c r="E56">
        <f t="shared" si="11"/>
        <v>0.29130659839416151</v>
      </c>
      <c r="F56">
        <f t="shared" si="12"/>
        <v>265.50631723279645</v>
      </c>
      <c r="H56" s="77">
        <f t="shared" si="4"/>
        <v>29.13065983941615</v>
      </c>
      <c r="I56" s="77">
        <f t="shared" si="5"/>
        <v>-11.61</v>
      </c>
      <c r="J56" s="77">
        <f t="shared" si="6"/>
        <v>261.53999999999996</v>
      </c>
      <c r="K56" s="6">
        <f t="shared" si="7"/>
        <v>29767.159750721872</v>
      </c>
      <c r="L56">
        <f t="shared" si="8"/>
        <v>40000</v>
      </c>
    </row>
    <row r="57" spans="2:12" ht="12" customHeight="1">
      <c r="B57" s="91"/>
      <c r="C57">
        <v>41000</v>
      </c>
      <c r="D57">
        <f t="shared" si="10"/>
        <v>-8.6200000000000045</v>
      </c>
      <c r="E57">
        <f t="shared" si="11"/>
        <v>0.25592883027410518</v>
      </c>
      <c r="F57">
        <f t="shared" si="12"/>
        <v>235.92909386857912</v>
      </c>
      <c r="H57" s="77">
        <f t="shared" si="4"/>
        <v>25.592883027410519</v>
      </c>
      <c r="I57" s="77">
        <f t="shared" si="5"/>
        <v>-8.6200000000000045</v>
      </c>
      <c r="J57" s="77">
        <f t="shared" si="6"/>
        <v>264.52999999999997</v>
      </c>
      <c r="K57" s="6">
        <f t="shared" si="7"/>
        <v>30121.435738391956</v>
      </c>
      <c r="L57">
        <f t="shared" si="8"/>
        <v>41000</v>
      </c>
    </row>
    <row r="58" spans="2:12" ht="12" customHeight="1">
      <c r="B58" s="91"/>
      <c r="C58">
        <v>42000</v>
      </c>
      <c r="D58">
        <f t="shared" si="10"/>
        <v>-5.6300000000000097</v>
      </c>
      <c r="E58">
        <f t="shared" si="11"/>
        <v>0.22517503857297338</v>
      </c>
      <c r="F58">
        <f t="shared" si="12"/>
        <v>209.92529650440292</v>
      </c>
      <c r="H58" s="77">
        <f t="shared" si="4"/>
        <v>22.517503857297338</v>
      </c>
      <c r="I58" s="77">
        <f t="shared" si="5"/>
        <v>-5.6300000000000097</v>
      </c>
      <c r="J58" s="77">
        <f t="shared" si="6"/>
        <v>267.52</v>
      </c>
      <c r="K58" s="6">
        <f t="shared" si="7"/>
        <v>30463.25483987436</v>
      </c>
      <c r="L58">
        <f t="shared" si="8"/>
        <v>42000</v>
      </c>
    </row>
    <row r="59" spans="2:12" ht="12" customHeight="1">
      <c r="B59" s="91"/>
      <c r="C59">
        <v>43000</v>
      </c>
      <c r="D59">
        <f t="shared" si="10"/>
        <v>-2.6400000000000148</v>
      </c>
      <c r="E59">
        <f t="shared" si="11"/>
        <v>0.19839894985117332</v>
      </c>
      <c r="F59">
        <f t="shared" si="12"/>
        <v>187.03025436301269</v>
      </c>
      <c r="H59" s="77">
        <f t="shared" si="4"/>
        <v>19.839894985117333</v>
      </c>
      <c r="I59" s="77">
        <f t="shared" si="5"/>
        <v>-2.6400000000000148</v>
      </c>
      <c r="J59" s="77">
        <f t="shared" si="6"/>
        <v>270.51</v>
      </c>
      <c r="K59" s="6">
        <f t="shared" si="7"/>
        <v>30793.187065748494</v>
      </c>
      <c r="L59">
        <f t="shared" si="8"/>
        <v>43000</v>
      </c>
    </row>
    <row r="60" spans="2:12" ht="12" customHeight="1">
      <c r="B60" s="91"/>
      <c r="C60">
        <v>44000</v>
      </c>
      <c r="D60">
        <f t="shared" si="10"/>
        <v>0.34999999999999432</v>
      </c>
      <c r="E60">
        <f t="shared" si="11"/>
        <v>0.17505035261161211</v>
      </c>
      <c r="F60">
        <f t="shared" si="12"/>
        <v>166.84391398273038</v>
      </c>
      <c r="H60" s="77">
        <f t="shared" si="4"/>
        <v>17.505035261161211</v>
      </c>
      <c r="I60" s="77">
        <f t="shared" si="5"/>
        <v>0.34999999999999432</v>
      </c>
      <c r="J60" s="77">
        <f t="shared" si="6"/>
        <v>273.5</v>
      </c>
      <c r="K60" s="6">
        <f t="shared" si="7"/>
        <v>31111.770434570532</v>
      </c>
      <c r="L60">
        <f t="shared" si="8"/>
        <v>44000</v>
      </c>
    </row>
    <row r="61" spans="2:12" ht="12" customHeight="1">
      <c r="B61" s="91"/>
      <c r="C61">
        <v>45000</v>
      </c>
      <c r="D61">
        <f t="shared" si="10"/>
        <v>3.3400000000000034</v>
      </c>
      <c r="E61">
        <f t="shared" si="11"/>
        <v>0.15465998378733276</v>
      </c>
      <c r="F61">
        <f t="shared" si="12"/>
        <v>149.02128239167055</v>
      </c>
      <c r="H61" s="77">
        <f t="shared" si="4"/>
        <v>15.465998378733275</v>
      </c>
      <c r="I61" s="77">
        <f t="shared" si="5"/>
        <v>3.3400000000000034</v>
      </c>
      <c r="J61" s="77">
        <f t="shared" si="6"/>
        <v>276.49</v>
      </c>
      <c r="K61" s="6">
        <f t="shared" si="7"/>
        <v>31419.513092949648</v>
      </c>
      <c r="L61">
        <f t="shared" si="8"/>
        <v>45000</v>
      </c>
    </row>
    <row r="62" spans="2:12" ht="12" customHeight="1">
      <c r="B62" s="91"/>
      <c r="C62">
        <v>46000</v>
      </c>
      <c r="D62">
        <f t="shared" si="10"/>
        <v>6.3299999999999841</v>
      </c>
      <c r="E62">
        <f t="shared" si="11"/>
        <v>0.13682692172547969</v>
      </c>
      <c r="F62">
        <f t="shared" si="12"/>
        <v>133.26436646131333</v>
      </c>
      <c r="H62" s="77">
        <f t="shared" si="4"/>
        <v>13.68269217254797</v>
      </c>
      <c r="I62" s="77">
        <f t="shared" si="5"/>
        <v>6.3299999999999841</v>
      </c>
      <c r="J62" s="77">
        <f t="shared" si="6"/>
        <v>279.47999999999996</v>
      </c>
      <c r="K62" s="6">
        <f t="shared" si="7"/>
        <v>31716.895274081711</v>
      </c>
      <c r="L62">
        <f t="shared" si="8"/>
        <v>46000</v>
      </c>
    </row>
    <row r="63" spans="2:12" ht="12" customHeight="1">
      <c r="B63" s="91"/>
      <c r="C63">
        <v>47000</v>
      </c>
      <c r="D63">
        <f t="shared" si="10"/>
        <v>9.3199999999999932</v>
      </c>
      <c r="E63">
        <f t="shared" si="11"/>
        <v>0.12120804906941619</v>
      </c>
      <c r="F63">
        <f t="shared" si="12"/>
        <v>119.31536151336537</v>
      </c>
      <c r="H63" s="77">
        <f t="shared" si="4"/>
        <v>12.12080490694162</v>
      </c>
      <c r="I63" s="77">
        <f t="shared" si="5"/>
        <v>9.3199999999999932</v>
      </c>
      <c r="J63" s="77">
        <f t="shared" si="6"/>
        <v>282.46999999999997</v>
      </c>
      <c r="K63" s="6">
        <f t="shared" si="7"/>
        <v>32004.371108619398</v>
      </c>
      <c r="L63">
        <f t="shared" si="8"/>
        <v>47000</v>
      </c>
    </row>
    <row r="64" spans="2:12" ht="12" customHeight="1">
      <c r="B64" s="91"/>
      <c r="C64">
        <v>48000</v>
      </c>
      <c r="D64">
        <f t="shared" si="10"/>
        <v>12.310000000000002</v>
      </c>
      <c r="E64">
        <f t="shared" si="11"/>
        <v>0.1075092285596608</v>
      </c>
      <c r="F64">
        <f t="shared" si="12"/>
        <v>106.95088505825302</v>
      </c>
      <c r="H64" s="77">
        <f t="shared" si="4"/>
        <v>10.750922855966079</v>
      </c>
      <c r="I64" s="77">
        <f t="shared" si="5"/>
        <v>12.310000000000002</v>
      </c>
      <c r="J64" s="77">
        <f t="shared" si="6"/>
        <v>285.45999999999998</v>
      </c>
      <c r="K64" s="6">
        <f t="shared" si="7"/>
        <v>32282.370300433249</v>
      </c>
      <c r="L64">
        <f t="shared" si="8"/>
        <v>48000</v>
      </c>
    </row>
    <row r="65" spans="2:12" ht="12" customHeight="1">
      <c r="B65" s="91"/>
      <c r="C65">
        <v>49000</v>
      </c>
      <c r="D65">
        <f t="shared" si="10"/>
        <v>15.299999999999983</v>
      </c>
      <c r="E65">
        <f t="shared" si="11"/>
        <v>9.5477899235683825E-2</v>
      </c>
      <c r="F65">
        <f t="shared" si="12"/>
        <v>95.977086579195586</v>
      </c>
      <c r="H65" s="77">
        <f t="shared" si="4"/>
        <v>9.5477899235683825</v>
      </c>
      <c r="I65" s="77">
        <f t="shared" si="5"/>
        <v>15.299999999999983</v>
      </c>
      <c r="J65" s="77">
        <f t="shared" si="6"/>
        <v>288.44999999999993</v>
      </c>
      <c r="K65" s="6">
        <f t="shared" si="7"/>
        <v>32551.299678632287</v>
      </c>
      <c r="L65">
        <f t="shared" si="8"/>
        <v>49000</v>
      </c>
    </row>
    <row r="66" spans="2:12" ht="12" customHeight="1">
      <c r="B66" s="92"/>
      <c r="C66">
        <v>50000</v>
      </c>
      <c r="D66">
        <f t="shared" si="10"/>
        <v>18.289999999999992</v>
      </c>
      <c r="E66">
        <f t="shared" si="11"/>
        <v>8.4896852829233233E-2</v>
      </c>
      <c r="F66">
        <f t="shared" si="12"/>
        <v>86.225493014675052</v>
      </c>
      <c r="H66" s="77">
        <f t="shared" si="4"/>
        <v>8.4896852829233236</v>
      </c>
      <c r="I66" s="77">
        <f t="shared" si="5"/>
        <v>18.289999999999992</v>
      </c>
      <c r="J66" s="77">
        <f t="shared" si="6"/>
        <v>291.43999999999994</v>
      </c>
      <c r="K66" s="6">
        <f t="shared" si="7"/>
        <v>32811.544636150233</v>
      </c>
      <c r="L66">
        <f t="shared" si="8"/>
        <v>50000</v>
      </c>
    </row>
  </sheetData>
  <mergeCells count="3">
    <mergeCell ref="B16:B26"/>
    <mergeCell ref="B27:B41"/>
    <mergeCell ref="B42:B66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>
  <sheetPr codeName="Sheet24"/>
  <dimension ref="B3:C4"/>
  <sheetViews>
    <sheetView workbookViewId="0">
      <selection activeCell="B5" sqref="B5"/>
    </sheetView>
  </sheetViews>
  <sheetFormatPr defaultRowHeight="15"/>
  <sheetData>
    <row r="3" spans="2:3">
      <c r="B3" t="s">
        <v>503</v>
      </c>
      <c r="C3" t="s">
        <v>503</v>
      </c>
    </row>
    <row r="4" spans="2:3">
      <c r="B4" t="s">
        <v>420</v>
      </c>
      <c r="C4" t="s">
        <v>519</v>
      </c>
    </row>
  </sheetData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>
  <sheetPr codeName="Sheet22"/>
  <dimension ref="B1:Q8"/>
  <sheetViews>
    <sheetView workbookViewId="0">
      <selection activeCell="E16" sqref="E16"/>
    </sheetView>
  </sheetViews>
  <sheetFormatPr defaultColWidth="15.140625" defaultRowHeight="15"/>
  <sheetData>
    <row r="1" spans="2:17">
      <c r="B1" t="s">
        <v>431</v>
      </c>
      <c r="C1" t="s">
        <v>433</v>
      </c>
      <c r="D1" t="s">
        <v>435</v>
      </c>
      <c r="E1" t="s">
        <v>434</v>
      </c>
      <c r="F1" t="s">
        <v>437</v>
      </c>
      <c r="G1" t="s">
        <v>438</v>
      </c>
      <c r="H1" t="s">
        <v>439</v>
      </c>
      <c r="I1" t="s">
        <v>440</v>
      </c>
      <c r="J1" t="s">
        <v>441</v>
      </c>
      <c r="K1" t="s">
        <v>442</v>
      </c>
      <c r="L1" t="s">
        <v>443</v>
      </c>
      <c r="M1" t="s">
        <v>444</v>
      </c>
      <c r="N1" t="s">
        <v>445</v>
      </c>
      <c r="O1" t="s">
        <v>446</v>
      </c>
      <c r="P1" t="s">
        <v>447</v>
      </c>
      <c r="Q1" t="s">
        <v>448</v>
      </c>
    </row>
    <row r="2" spans="2:17">
      <c r="B2" t="s">
        <v>432</v>
      </c>
      <c r="C2" t="s">
        <v>434</v>
      </c>
      <c r="D2" t="s">
        <v>436</v>
      </c>
      <c r="E2" t="s">
        <v>436</v>
      </c>
      <c r="F2" t="s">
        <v>432</v>
      </c>
      <c r="G2" t="s">
        <v>432</v>
      </c>
      <c r="H2" t="s">
        <v>434</v>
      </c>
      <c r="I2" t="s">
        <v>432</v>
      </c>
      <c r="J2" t="s">
        <v>432</v>
      </c>
      <c r="K2" t="s">
        <v>432</v>
      </c>
      <c r="L2" t="s">
        <v>434</v>
      </c>
      <c r="M2" t="s">
        <v>432</v>
      </c>
      <c r="N2" t="s">
        <v>432</v>
      </c>
      <c r="O2" t="s">
        <v>432</v>
      </c>
      <c r="P2" t="s">
        <v>434</v>
      </c>
      <c r="Q2" t="s">
        <v>432</v>
      </c>
    </row>
    <row r="3" spans="2:17">
      <c r="B3">
        <v>1</v>
      </c>
      <c r="C3">
        <v>2</v>
      </c>
      <c r="D3">
        <v>3</v>
      </c>
      <c r="E3">
        <v>4</v>
      </c>
      <c r="F3">
        <v>5</v>
      </c>
      <c r="G3">
        <v>6</v>
      </c>
      <c r="H3">
        <v>7</v>
      </c>
      <c r="I3">
        <v>8</v>
      </c>
      <c r="J3">
        <v>9</v>
      </c>
      <c r="K3">
        <v>10</v>
      </c>
      <c r="L3">
        <v>11</v>
      </c>
      <c r="M3">
        <v>12</v>
      </c>
      <c r="N3">
        <v>13</v>
      </c>
      <c r="O3">
        <v>14</v>
      </c>
      <c r="P3">
        <v>15</v>
      </c>
      <c r="Q3">
        <v>16</v>
      </c>
    </row>
    <row r="6" spans="2:17">
      <c r="B6" t="s">
        <v>449</v>
      </c>
      <c r="C6" t="s">
        <v>450</v>
      </c>
      <c r="D6" t="s">
        <v>451</v>
      </c>
      <c r="E6" t="s">
        <v>451</v>
      </c>
      <c r="F6" t="s">
        <v>450</v>
      </c>
      <c r="G6" t="s">
        <v>449</v>
      </c>
      <c r="H6" t="s">
        <v>450</v>
      </c>
      <c r="I6" t="s">
        <v>451</v>
      </c>
      <c r="J6" t="s">
        <v>449</v>
      </c>
      <c r="K6" t="s">
        <v>449</v>
      </c>
      <c r="L6" t="s">
        <v>450</v>
      </c>
      <c r="M6" t="s">
        <v>452</v>
      </c>
      <c r="N6" t="s">
        <v>452</v>
      </c>
      <c r="O6" t="s">
        <v>452</v>
      </c>
      <c r="P6" t="s">
        <v>450</v>
      </c>
      <c r="Q6" t="s">
        <v>449</v>
      </c>
    </row>
    <row r="7" spans="2:17">
      <c r="B7" s="42" t="s">
        <v>462</v>
      </c>
    </row>
    <row r="8" spans="2:17">
      <c r="B8" t="s">
        <v>431</v>
      </c>
      <c r="C8" t="s">
        <v>457</v>
      </c>
      <c r="D8" t="s">
        <v>453</v>
      </c>
      <c r="E8" t="s">
        <v>454</v>
      </c>
      <c r="F8" t="s">
        <v>455</v>
      </c>
      <c r="G8" t="s">
        <v>456</v>
      </c>
      <c r="H8" t="s">
        <v>458</v>
      </c>
      <c r="I8" t="s">
        <v>459</v>
      </c>
      <c r="J8" t="s">
        <v>460</v>
      </c>
      <c r="K8" t="s">
        <v>461</v>
      </c>
      <c r="L8" t="s">
        <v>463</v>
      </c>
    </row>
  </sheetData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>
  <sheetPr codeName="Sheet23"/>
  <dimension ref="A1:B33"/>
  <sheetViews>
    <sheetView topLeftCell="A7" workbookViewId="0">
      <selection activeCell="H22" sqref="H22"/>
    </sheetView>
  </sheetViews>
  <sheetFormatPr defaultRowHeight="15"/>
  <sheetData>
    <row r="1" spans="1:1">
      <c r="A1">
        <f>5/1024</f>
        <v>4.8828125E-3</v>
      </c>
    </row>
    <row r="8" spans="1:1">
      <c r="A8" t="s">
        <v>486</v>
      </c>
    </row>
    <row r="9" spans="1:1">
      <c r="A9" t="s">
        <v>487</v>
      </c>
    </row>
    <row r="12" spans="1:1">
      <c r="A12" t="s">
        <v>485</v>
      </c>
    </row>
    <row r="13" spans="1:1">
      <c r="A13" s="42" t="s">
        <v>484</v>
      </c>
    </row>
    <row r="18" spans="1:2">
      <c r="A18" t="s">
        <v>465</v>
      </c>
      <c r="B18" t="s">
        <v>483</v>
      </c>
    </row>
    <row r="19" spans="1:2">
      <c r="A19" t="s">
        <v>467</v>
      </c>
      <c r="B19" t="s">
        <v>482</v>
      </c>
    </row>
    <row r="20" spans="1:2">
      <c r="A20" t="s">
        <v>480</v>
      </c>
      <c r="B20" t="s">
        <v>481</v>
      </c>
    </row>
    <row r="21" spans="1:2">
      <c r="A21" t="s">
        <v>480</v>
      </c>
      <c r="B21" t="s">
        <v>479</v>
      </c>
    </row>
    <row r="22" spans="1:2">
      <c r="A22" t="s">
        <v>467</v>
      </c>
      <c r="B22" t="s">
        <v>478</v>
      </c>
    </row>
    <row r="23" spans="1:2">
      <c r="A23" t="s">
        <v>465</v>
      </c>
      <c r="B23" t="s">
        <v>477</v>
      </c>
    </row>
    <row r="24" spans="1:2">
      <c r="A24" t="s">
        <v>467</v>
      </c>
      <c r="B24" t="s">
        <v>476</v>
      </c>
    </row>
    <row r="25" spans="1:2">
      <c r="A25" t="s">
        <v>465</v>
      </c>
      <c r="B25" t="s">
        <v>475</v>
      </c>
    </row>
    <row r="26" spans="1:2">
      <c r="A26" t="s">
        <v>465</v>
      </c>
      <c r="B26" t="s">
        <v>474</v>
      </c>
    </row>
    <row r="27" spans="1:2">
      <c r="A27" t="s">
        <v>465</v>
      </c>
      <c r="B27" t="s">
        <v>473</v>
      </c>
    </row>
    <row r="28" spans="1:2">
      <c r="A28" t="s">
        <v>467</v>
      </c>
      <c r="B28" t="s">
        <v>472</v>
      </c>
    </row>
    <row r="29" spans="1:2">
      <c r="A29" t="s">
        <v>469</v>
      </c>
      <c r="B29" t="s">
        <v>471</v>
      </c>
    </row>
    <row r="30" spans="1:2">
      <c r="A30" t="s">
        <v>469</v>
      </c>
      <c r="B30" t="s">
        <v>470</v>
      </c>
    </row>
    <row r="31" spans="1:2">
      <c r="A31" t="s">
        <v>469</v>
      </c>
      <c r="B31" t="s">
        <v>468</v>
      </c>
    </row>
    <row r="32" spans="1:2">
      <c r="A32" t="s">
        <v>467</v>
      </c>
      <c r="B32" t="s">
        <v>466</v>
      </c>
    </row>
    <row r="33" spans="1:2">
      <c r="A33" t="s">
        <v>465</v>
      </c>
      <c r="B33" t="s">
        <v>464</v>
      </c>
    </row>
  </sheetData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>
  <sheetPr codeName="Sheet25"/>
  <dimension ref="C3:D9"/>
  <sheetViews>
    <sheetView workbookViewId="0">
      <selection activeCell="I16" sqref="I16"/>
    </sheetView>
  </sheetViews>
  <sheetFormatPr defaultRowHeight="15"/>
  <sheetData>
    <row r="3" spans="3:4">
      <c r="C3" t="s">
        <v>540</v>
      </c>
      <c r="D3">
        <v>153</v>
      </c>
    </row>
    <row r="4" spans="3:4">
      <c r="C4" t="s">
        <v>541</v>
      </c>
      <c r="D4">
        <v>0</v>
      </c>
    </row>
    <row r="5" spans="3:4">
      <c r="C5" t="s">
        <v>497</v>
      </c>
      <c r="D5">
        <v>52953</v>
      </c>
    </row>
    <row r="6" spans="3:4">
      <c r="C6" t="s">
        <v>542</v>
      </c>
      <c r="D6">
        <v>58222</v>
      </c>
    </row>
    <row r="9" spans="3:4">
      <c r="D9">
        <f>(D4-D6+D5)/2000</f>
        <v>-2.6345000000000001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sheetPr codeName="Sheet3">
    <tabColor theme="9"/>
  </sheetPr>
  <dimension ref="B2:M35"/>
  <sheetViews>
    <sheetView zoomScaleNormal="100" workbookViewId="0">
      <selection activeCell="A17" sqref="A17"/>
    </sheetView>
  </sheetViews>
  <sheetFormatPr defaultRowHeight="15"/>
  <cols>
    <col min="2" max="2" width="10.42578125" bestFit="1" customWidth="1"/>
  </cols>
  <sheetData>
    <row r="2" spans="2:6">
      <c r="B2" t="s">
        <v>36</v>
      </c>
      <c r="C2" s="1" t="s">
        <v>4</v>
      </c>
    </row>
    <row r="3" spans="2:6">
      <c r="B3" t="s">
        <v>34</v>
      </c>
      <c r="C3" s="1" t="s">
        <v>78</v>
      </c>
    </row>
    <row r="4" spans="2:6">
      <c r="C4" s="1" t="s">
        <v>139</v>
      </c>
    </row>
    <row r="5" spans="2:6">
      <c r="C5" s="1" t="s">
        <v>155</v>
      </c>
    </row>
    <row r="6" spans="2:6">
      <c r="B6" t="s">
        <v>77</v>
      </c>
      <c r="C6" s="1" t="s">
        <v>79</v>
      </c>
    </row>
    <row r="7" spans="2:6">
      <c r="C7" s="1" t="s">
        <v>116</v>
      </c>
      <c r="F7" s="1"/>
    </row>
    <row r="8" spans="2:6">
      <c r="B8" t="s">
        <v>340</v>
      </c>
      <c r="C8" s="1" t="s">
        <v>341</v>
      </c>
      <c r="F8" s="1"/>
    </row>
    <row r="9" spans="2:6">
      <c r="C9" s="1" t="s">
        <v>489</v>
      </c>
      <c r="F9" s="1"/>
    </row>
    <row r="10" spans="2:6">
      <c r="B10" t="s">
        <v>37</v>
      </c>
      <c r="C10" s="2">
        <v>28.79</v>
      </c>
    </row>
    <row r="23" spans="2:4">
      <c r="B23" t="s">
        <v>149</v>
      </c>
      <c r="D23" s="1" t="s">
        <v>150</v>
      </c>
    </row>
    <row r="24" spans="2:4">
      <c r="B24" t="s">
        <v>151</v>
      </c>
      <c r="D24" s="1" t="s">
        <v>152</v>
      </c>
    </row>
    <row r="25" spans="2:4">
      <c r="B25" t="s">
        <v>153</v>
      </c>
      <c r="D25" s="1" t="s">
        <v>154</v>
      </c>
    </row>
    <row r="26" spans="2:4">
      <c r="B26" t="s">
        <v>217</v>
      </c>
      <c r="D26" s="1" t="s">
        <v>218</v>
      </c>
    </row>
    <row r="33" spans="2:13">
      <c r="B33" t="s">
        <v>157</v>
      </c>
    </row>
    <row r="35" spans="2:13">
      <c r="M35" t="s">
        <v>156</v>
      </c>
    </row>
  </sheetData>
  <hyperlinks>
    <hyperlink ref="C2" r:id="rId1"/>
    <hyperlink ref="C3" r:id="rId2"/>
    <hyperlink ref="C6" r:id="rId3"/>
    <hyperlink ref="C7" r:id="rId4"/>
    <hyperlink ref="C4" r:id="rId5"/>
    <hyperlink ref="D23" r:id="rId6"/>
    <hyperlink ref="D24" r:id="rId7" location="gga"/>
    <hyperlink ref="D25" r:id="rId8"/>
    <hyperlink ref="C5" r:id="rId9"/>
    <hyperlink ref="D26" r:id="rId10"/>
    <hyperlink ref="C8" r:id="rId11"/>
  </hyperlinks>
  <pageMargins left="0.7" right="0.7" top="0.75" bottom="0.75" header="0.3" footer="0.3"/>
  <drawing r:id="rId12"/>
</worksheet>
</file>

<file path=xl/worksheets/sheet4.xml><?xml version="1.0" encoding="utf-8"?>
<worksheet xmlns="http://schemas.openxmlformats.org/spreadsheetml/2006/main" xmlns:r="http://schemas.openxmlformats.org/officeDocument/2006/relationships">
  <sheetPr codeName="Sheet4">
    <tabColor theme="9"/>
  </sheetPr>
  <dimension ref="B2:X59"/>
  <sheetViews>
    <sheetView topLeftCell="A22" zoomScale="70" zoomScaleNormal="70" workbookViewId="0">
      <selection activeCell="H36" sqref="H36"/>
    </sheetView>
  </sheetViews>
  <sheetFormatPr defaultRowHeight="15"/>
  <cols>
    <col min="2" max="2" width="10.85546875" customWidth="1"/>
    <col min="13" max="14" width="12.42578125" bestFit="1" customWidth="1"/>
    <col min="19" max="19" width="12.42578125" bestFit="1" customWidth="1"/>
    <col min="20" max="20" width="9.28515625" bestFit="1" customWidth="1"/>
    <col min="24" max="24" width="12.42578125" bestFit="1" customWidth="1"/>
  </cols>
  <sheetData>
    <row r="2" spans="2:4">
      <c r="B2" t="s">
        <v>36</v>
      </c>
      <c r="C2" s="1" t="s">
        <v>27</v>
      </c>
    </row>
    <row r="3" spans="2:4">
      <c r="B3" t="s">
        <v>37</v>
      </c>
      <c r="C3" s="2">
        <v>21.07</v>
      </c>
    </row>
    <row r="4" spans="2:4">
      <c r="B4" t="s">
        <v>32</v>
      </c>
      <c r="C4" s="1" t="s">
        <v>33</v>
      </c>
    </row>
    <row r="5" spans="2:4">
      <c r="C5" s="1" t="s">
        <v>255</v>
      </c>
    </row>
    <row r="6" spans="2:4">
      <c r="C6" s="1" t="s">
        <v>256</v>
      </c>
    </row>
    <row r="7" spans="2:4">
      <c r="C7" s="1" t="s">
        <v>257</v>
      </c>
    </row>
    <row r="8" spans="2:4">
      <c r="C8" s="1" t="s">
        <v>274</v>
      </c>
    </row>
    <row r="9" spans="2:4">
      <c r="C9" s="1"/>
    </row>
    <row r="10" spans="2:4">
      <c r="B10" t="s">
        <v>34</v>
      </c>
      <c r="C10" s="1" t="s">
        <v>35</v>
      </c>
    </row>
    <row r="11" spans="2:4">
      <c r="B11" t="s">
        <v>547</v>
      </c>
      <c r="D11" s="1" t="s">
        <v>548</v>
      </c>
    </row>
    <row r="16" spans="2:4">
      <c r="D16">
        <f>(3500-3150)/2+3150</f>
        <v>3325</v>
      </c>
    </row>
    <row r="20" spans="2:24">
      <c r="W20" t="s">
        <v>278</v>
      </c>
      <c r="X20" t="s">
        <v>279</v>
      </c>
    </row>
    <row r="22" spans="2:24">
      <c r="W22">
        <v>50</v>
      </c>
      <c r="X22" s="6">
        <f t="shared" ref="X22:X29" si="0">1/W22*1000000</f>
        <v>20000</v>
      </c>
    </row>
    <row r="23" spans="2:24">
      <c r="W23">
        <v>56</v>
      </c>
      <c r="X23" s="6">
        <f t="shared" si="0"/>
        <v>17857.142857142855</v>
      </c>
    </row>
    <row r="24" spans="2:24">
      <c r="W24">
        <v>75</v>
      </c>
      <c r="X24" s="6">
        <f t="shared" si="0"/>
        <v>13333.333333333334</v>
      </c>
    </row>
    <row r="25" spans="2:24">
      <c r="W25">
        <v>100</v>
      </c>
      <c r="X25" s="6">
        <f t="shared" si="0"/>
        <v>10000</v>
      </c>
    </row>
    <row r="26" spans="2:24">
      <c r="W26">
        <v>110</v>
      </c>
      <c r="X26" s="6">
        <f t="shared" si="0"/>
        <v>9090.9090909090901</v>
      </c>
    </row>
    <row r="27" spans="2:24">
      <c r="W27">
        <v>150</v>
      </c>
      <c r="X27" s="6">
        <f t="shared" si="0"/>
        <v>6666.666666666667</v>
      </c>
    </row>
    <row r="28" spans="2:24">
      <c r="W28">
        <v>200</v>
      </c>
      <c r="X28" s="6">
        <f t="shared" si="0"/>
        <v>5000</v>
      </c>
    </row>
    <row r="29" spans="2:24">
      <c r="W29">
        <v>300</v>
      </c>
      <c r="X29" s="6">
        <f t="shared" si="0"/>
        <v>3333.3333333333335</v>
      </c>
    </row>
    <row r="32" spans="2:24">
      <c r="B32" t="s">
        <v>252</v>
      </c>
      <c r="I32" t="s">
        <v>271</v>
      </c>
    </row>
    <row r="33" spans="2:24">
      <c r="B33" s="1" t="s">
        <v>253</v>
      </c>
    </row>
    <row r="34" spans="2:24">
      <c r="J34" t="s">
        <v>258</v>
      </c>
      <c r="L34" t="s">
        <v>259</v>
      </c>
      <c r="M34">
        <v>3.3</v>
      </c>
      <c r="N34" t="s">
        <v>123</v>
      </c>
    </row>
    <row r="35" spans="2:24">
      <c r="J35" t="s">
        <v>285</v>
      </c>
      <c r="M35">
        <f>M34/255</f>
        <v>1.2941176470588235E-2</v>
      </c>
      <c r="N35" t="s">
        <v>290</v>
      </c>
    </row>
    <row r="36" spans="2:24">
      <c r="J36" t="s">
        <v>260</v>
      </c>
      <c r="L36" t="s">
        <v>261</v>
      </c>
      <c r="M36">
        <v>420</v>
      </c>
      <c r="N36" t="s">
        <v>262</v>
      </c>
    </row>
    <row r="37" spans="2:24">
      <c r="J37" t="s">
        <v>287</v>
      </c>
      <c r="M37">
        <v>434272000</v>
      </c>
      <c r="N37" t="s">
        <v>262</v>
      </c>
      <c r="P37" t="s">
        <v>291</v>
      </c>
      <c r="S37">
        <f>M37+M36/2</f>
        <v>434272210</v>
      </c>
      <c r="T37" t="s">
        <v>262</v>
      </c>
      <c r="U37" t="s">
        <v>292</v>
      </c>
      <c r="X37">
        <f>M37-M36/2</f>
        <v>434271790</v>
      </c>
    </row>
    <row r="38" spans="2:24">
      <c r="J38" t="s">
        <v>289</v>
      </c>
      <c r="M38">
        <f>(M37-M53)*M41</f>
        <v>0.5</v>
      </c>
      <c r="P38" t="s">
        <v>289</v>
      </c>
      <c r="S38">
        <f>(S37-M53)*M41</f>
        <v>0.60499999999999998</v>
      </c>
      <c r="U38" t="s">
        <v>289</v>
      </c>
      <c r="X38">
        <f>(X37-M53)*M41</f>
        <v>0.39500000000000002</v>
      </c>
    </row>
    <row r="39" spans="2:24">
      <c r="J39" t="s">
        <v>288</v>
      </c>
      <c r="M39">
        <f>M38/M35</f>
        <v>38.636363636363633</v>
      </c>
      <c r="P39" t="s">
        <v>288</v>
      </c>
      <c r="S39">
        <f>S38/M35</f>
        <v>46.75</v>
      </c>
      <c r="U39" t="s">
        <v>288</v>
      </c>
      <c r="X39">
        <f>X38/M35</f>
        <v>30.522727272727273</v>
      </c>
    </row>
    <row r="41" spans="2:24">
      <c r="J41" t="s">
        <v>286</v>
      </c>
      <c r="M41">
        <f>0.0005</f>
        <v>5.0000000000000001E-4</v>
      </c>
      <c r="N41" t="s">
        <v>275</v>
      </c>
    </row>
    <row r="42" spans="2:24">
      <c r="M42">
        <f>1/M41</f>
        <v>2000</v>
      </c>
      <c r="N42" t="s">
        <v>276</v>
      </c>
    </row>
    <row r="43" spans="2:24">
      <c r="J43" t="s">
        <v>263</v>
      </c>
      <c r="L43" t="s">
        <v>264</v>
      </c>
      <c r="M43">
        <f>M41*M36</f>
        <v>0.21</v>
      </c>
      <c r="N43" t="s">
        <v>123</v>
      </c>
    </row>
    <row r="44" spans="2:24">
      <c r="J44" t="s">
        <v>265</v>
      </c>
      <c r="L44" t="s">
        <v>266</v>
      </c>
      <c r="M44">
        <f>M43/M35</f>
        <v>16.227272727272727</v>
      </c>
      <c r="N44" t="s">
        <v>269</v>
      </c>
    </row>
    <row r="45" spans="2:24">
      <c r="J45" t="s">
        <v>267</v>
      </c>
      <c r="L45" t="s">
        <v>268</v>
      </c>
      <c r="M45">
        <v>3</v>
      </c>
      <c r="N45" t="s">
        <v>123</v>
      </c>
    </row>
    <row r="46" spans="2:24">
      <c r="J46" t="s">
        <v>270</v>
      </c>
      <c r="M46">
        <f>M45/M35</f>
        <v>231.81818181818181</v>
      </c>
      <c r="N46" t="s">
        <v>269</v>
      </c>
    </row>
    <row r="49" spans="9:20">
      <c r="J49" t="s">
        <v>272</v>
      </c>
      <c r="M49">
        <f>100*M35</f>
        <v>1.2941176470588236</v>
      </c>
      <c r="N49" t="s">
        <v>123</v>
      </c>
    </row>
    <row r="50" spans="9:20">
      <c r="J50" t="s">
        <v>273</v>
      </c>
      <c r="M50">
        <f>110*M35</f>
        <v>1.4235294117647059</v>
      </c>
      <c r="N50" t="s">
        <v>123</v>
      </c>
    </row>
    <row r="53" spans="9:20">
      <c r="I53" t="s">
        <v>280</v>
      </c>
      <c r="J53">
        <v>0</v>
      </c>
      <c r="K53" t="s">
        <v>269</v>
      </c>
      <c r="M53">
        <v>434271000</v>
      </c>
      <c r="N53" t="s">
        <v>277</v>
      </c>
      <c r="O53" t="s">
        <v>282</v>
      </c>
    </row>
    <row r="54" spans="9:20">
      <c r="J54" s="78">
        <v>30</v>
      </c>
      <c r="K54" s="79"/>
      <c r="L54" s="79"/>
      <c r="M54" s="79">
        <f>M53+J54*M35*M42</f>
        <v>434271776.47058821</v>
      </c>
      <c r="N54" s="80">
        <f>X37-M54</f>
        <v>13.529411792755127</v>
      </c>
    </row>
    <row r="55" spans="9:20">
      <c r="J55" s="81">
        <v>47</v>
      </c>
      <c r="K55" s="82"/>
      <c r="L55" s="82"/>
      <c r="M55" s="82">
        <f>M53+J55*M35*M42</f>
        <v>434272216.47058821</v>
      </c>
      <c r="N55" s="83">
        <f>S37-M55</f>
        <v>-6.470588207244873</v>
      </c>
      <c r="Q55">
        <f>M55-M54</f>
        <v>440</v>
      </c>
    </row>
    <row r="56" spans="9:20">
      <c r="J56">
        <v>255</v>
      </c>
      <c r="M56">
        <f>M53+J56*M35*M42</f>
        <v>434277600</v>
      </c>
      <c r="N56">
        <f>M56-M57</f>
        <v>-400</v>
      </c>
      <c r="O56" t="s">
        <v>294</v>
      </c>
    </row>
    <row r="57" spans="9:20">
      <c r="J57">
        <v>255</v>
      </c>
      <c r="M57">
        <v>434278000</v>
      </c>
      <c r="N57" t="s">
        <v>277</v>
      </c>
      <c r="O57" t="s">
        <v>281</v>
      </c>
      <c r="S57">
        <f>M57-M53</f>
        <v>7000</v>
      </c>
      <c r="T57" t="s">
        <v>283</v>
      </c>
    </row>
    <row r="58" spans="9:20">
      <c r="S58">
        <f>S57/256</f>
        <v>27.34375</v>
      </c>
      <c r="T58" t="s">
        <v>284</v>
      </c>
    </row>
    <row r="59" spans="9:20">
      <c r="J59" t="s">
        <v>293</v>
      </c>
      <c r="M59">
        <f>M55-M54</f>
        <v>440</v>
      </c>
    </row>
  </sheetData>
  <hyperlinks>
    <hyperlink ref="C2" r:id="rId1"/>
    <hyperlink ref="C4" r:id="rId2"/>
    <hyperlink ref="C10" r:id="rId3"/>
    <hyperlink ref="B33" r:id="rId4"/>
    <hyperlink ref="C5" r:id="rId5"/>
    <hyperlink ref="C6" r:id="rId6"/>
    <hyperlink ref="C7" r:id="rId7"/>
    <hyperlink ref="C8" r:id="rId8"/>
    <hyperlink ref="D11" r:id="rId9"/>
  </hyperlinks>
  <pageMargins left="0.7" right="0.7" top="0.75" bottom="0.75" header="0.3" footer="0.3"/>
  <pageSetup paperSize="9" orientation="portrait" r:id="rId10"/>
  <drawing r:id="rId11"/>
</worksheet>
</file>

<file path=xl/worksheets/sheet5.xml><?xml version="1.0" encoding="utf-8"?>
<worksheet xmlns="http://schemas.openxmlformats.org/spreadsheetml/2006/main" xmlns:r="http://schemas.openxmlformats.org/officeDocument/2006/relationships">
  <sheetPr>
    <tabColor theme="9"/>
  </sheetPr>
  <dimension ref="A2:X59"/>
  <sheetViews>
    <sheetView tabSelected="1" topLeftCell="A58" zoomScale="70" zoomScaleNormal="70" workbookViewId="0">
      <selection activeCell="A66" sqref="A66"/>
    </sheetView>
  </sheetViews>
  <sheetFormatPr defaultRowHeight="15"/>
  <cols>
    <col min="1" max="1" width="11.5703125" bestFit="1" customWidth="1"/>
    <col min="2" max="2" width="10.85546875" customWidth="1"/>
    <col min="13" max="14" width="12.42578125" bestFit="1" customWidth="1"/>
    <col min="19" max="19" width="12.42578125" bestFit="1" customWidth="1"/>
    <col min="20" max="20" width="9.28515625" bestFit="1" customWidth="1"/>
    <col min="24" max="24" width="12.42578125" bestFit="1" customWidth="1"/>
  </cols>
  <sheetData>
    <row r="2" spans="2:4">
      <c r="B2" t="s">
        <v>36</v>
      </c>
      <c r="C2" s="1" t="s">
        <v>27</v>
      </c>
    </row>
    <row r="3" spans="2:4">
      <c r="B3" t="s">
        <v>37</v>
      </c>
      <c r="C3" s="2">
        <v>21.07</v>
      </c>
    </row>
    <row r="4" spans="2:4">
      <c r="B4" t="s">
        <v>32</v>
      </c>
      <c r="C4" s="1" t="s">
        <v>33</v>
      </c>
    </row>
    <row r="5" spans="2:4">
      <c r="C5" s="1" t="s">
        <v>255</v>
      </c>
    </row>
    <row r="6" spans="2:4">
      <c r="C6" s="1" t="s">
        <v>256</v>
      </c>
    </row>
    <row r="7" spans="2:4">
      <c r="C7" s="1" t="s">
        <v>257</v>
      </c>
    </row>
    <row r="8" spans="2:4">
      <c r="C8" s="1" t="s">
        <v>274</v>
      </c>
    </row>
    <row r="9" spans="2:4">
      <c r="C9" s="1"/>
    </row>
    <row r="10" spans="2:4">
      <c r="B10" t="s">
        <v>34</v>
      </c>
      <c r="C10" s="1" t="s">
        <v>35</v>
      </c>
    </row>
    <row r="11" spans="2:4">
      <c r="B11" t="s">
        <v>547</v>
      </c>
      <c r="D11" s="1" t="s">
        <v>548</v>
      </c>
    </row>
    <row r="16" spans="2:4">
      <c r="D16">
        <f>(3500-3150)/2+3150</f>
        <v>3325</v>
      </c>
    </row>
    <row r="20" spans="2:24">
      <c r="W20" t="s">
        <v>278</v>
      </c>
      <c r="X20" t="s">
        <v>279</v>
      </c>
    </row>
    <row r="22" spans="2:24">
      <c r="W22">
        <v>50</v>
      </c>
      <c r="X22" s="6">
        <f t="shared" ref="X22:X29" si="0">1/W22*1000000</f>
        <v>20000</v>
      </c>
    </row>
    <row r="23" spans="2:24">
      <c r="W23">
        <v>56</v>
      </c>
      <c r="X23" s="6">
        <f t="shared" si="0"/>
        <v>17857.142857142855</v>
      </c>
    </row>
    <row r="24" spans="2:24">
      <c r="W24">
        <v>75</v>
      </c>
      <c r="X24" s="6">
        <f t="shared" si="0"/>
        <v>13333.333333333334</v>
      </c>
    </row>
    <row r="25" spans="2:24">
      <c r="W25">
        <v>100</v>
      </c>
      <c r="X25" s="6">
        <f t="shared" si="0"/>
        <v>10000</v>
      </c>
    </row>
    <row r="26" spans="2:24">
      <c r="W26">
        <v>110</v>
      </c>
      <c r="X26" s="6">
        <f t="shared" si="0"/>
        <v>9090.9090909090901</v>
      </c>
    </row>
    <row r="27" spans="2:24">
      <c r="W27">
        <v>150</v>
      </c>
      <c r="X27" s="6">
        <f t="shared" si="0"/>
        <v>6666.666666666667</v>
      </c>
    </row>
    <row r="28" spans="2:24">
      <c r="W28">
        <v>200</v>
      </c>
      <c r="X28" s="6">
        <f t="shared" si="0"/>
        <v>5000</v>
      </c>
    </row>
    <row r="29" spans="2:24">
      <c r="W29">
        <v>300</v>
      </c>
      <c r="X29" s="6">
        <f t="shared" si="0"/>
        <v>3333.3333333333335</v>
      </c>
    </row>
    <row r="32" spans="2:24">
      <c r="B32" t="s">
        <v>252</v>
      </c>
      <c r="I32" t="s">
        <v>271</v>
      </c>
    </row>
    <row r="33" spans="2:24">
      <c r="B33" s="1" t="s">
        <v>253</v>
      </c>
    </row>
    <row r="34" spans="2:24">
      <c r="J34" t="s">
        <v>258</v>
      </c>
      <c r="L34" t="s">
        <v>259</v>
      </c>
      <c r="M34">
        <v>3.3</v>
      </c>
      <c r="N34" t="s">
        <v>123</v>
      </c>
    </row>
    <row r="35" spans="2:24">
      <c r="J35" t="s">
        <v>285</v>
      </c>
      <c r="M35">
        <f>M34/255</f>
        <v>1.2941176470588235E-2</v>
      </c>
      <c r="N35" t="s">
        <v>290</v>
      </c>
    </row>
    <row r="36" spans="2:24">
      <c r="J36" t="s">
        <v>260</v>
      </c>
      <c r="L36" t="s">
        <v>261</v>
      </c>
      <c r="M36">
        <v>420</v>
      </c>
      <c r="N36" t="s">
        <v>262</v>
      </c>
    </row>
    <row r="37" spans="2:24">
      <c r="J37" t="s">
        <v>287</v>
      </c>
      <c r="M37">
        <v>434272000</v>
      </c>
      <c r="N37" t="s">
        <v>262</v>
      </c>
      <c r="P37" t="s">
        <v>291</v>
      </c>
      <c r="S37">
        <f>M37+M36/2</f>
        <v>434272210</v>
      </c>
      <c r="T37" t="s">
        <v>262</v>
      </c>
      <c r="U37" t="s">
        <v>292</v>
      </c>
      <c r="X37">
        <f>M37-M36/2</f>
        <v>434271790</v>
      </c>
    </row>
    <row r="38" spans="2:24">
      <c r="J38" t="s">
        <v>289</v>
      </c>
      <c r="M38">
        <f>(M37-M53)*M41</f>
        <v>-162</v>
      </c>
      <c r="P38" t="s">
        <v>289</v>
      </c>
      <c r="S38">
        <f>(S37-M53)*M41</f>
        <v>-161.89500000000001</v>
      </c>
      <c r="U38" t="s">
        <v>289</v>
      </c>
      <c r="X38">
        <f>(X37-M53)*M41</f>
        <v>-162.10499999999999</v>
      </c>
    </row>
    <row r="39" spans="2:24">
      <c r="J39" t="s">
        <v>288</v>
      </c>
      <c r="M39">
        <f>M38/M35</f>
        <v>-12518.181818181818</v>
      </c>
      <c r="P39" t="s">
        <v>288</v>
      </c>
      <c r="S39">
        <f>S38/M35</f>
        <v>-12510.068181818182</v>
      </c>
      <c r="U39" t="s">
        <v>288</v>
      </c>
      <c r="X39">
        <f>X38/M35</f>
        <v>-12526.295454545454</v>
      </c>
    </row>
    <row r="41" spans="2:24">
      <c r="J41" t="s">
        <v>286</v>
      </c>
      <c r="M41">
        <f>0.0005</f>
        <v>5.0000000000000001E-4</v>
      </c>
      <c r="N41" t="s">
        <v>275</v>
      </c>
    </row>
    <row r="42" spans="2:24">
      <c r="M42">
        <f>1/M41</f>
        <v>2000</v>
      </c>
      <c r="N42" t="s">
        <v>276</v>
      </c>
    </row>
    <row r="43" spans="2:24">
      <c r="J43" t="s">
        <v>263</v>
      </c>
      <c r="L43" t="s">
        <v>264</v>
      </c>
      <c r="M43">
        <f>M41*M36</f>
        <v>0.21</v>
      </c>
      <c r="N43" t="s">
        <v>123</v>
      </c>
    </row>
    <row r="44" spans="2:24">
      <c r="J44" t="s">
        <v>265</v>
      </c>
      <c r="L44" t="s">
        <v>266</v>
      </c>
      <c r="M44">
        <f>M43/M35</f>
        <v>16.227272727272727</v>
      </c>
      <c r="N44" t="s">
        <v>269</v>
      </c>
    </row>
    <row r="45" spans="2:24">
      <c r="J45" t="s">
        <v>267</v>
      </c>
      <c r="L45" t="s">
        <v>268</v>
      </c>
      <c r="M45">
        <v>3</v>
      </c>
      <c r="N45" t="s">
        <v>123</v>
      </c>
    </row>
    <row r="46" spans="2:24">
      <c r="J46" t="s">
        <v>270</v>
      </c>
      <c r="M46">
        <f>M45/M35</f>
        <v>231.81818181818181</v>
      </c>
      <c r="N46" t="s">
        <v>269</v>
      </c>
    </row>
    <row r="49" spans="1:20">
      <c r="J49" t="s">
        <v>272</v>
      </c>
      <c r="M49">
        <f>100*M35</f>
        <v>1.2941176470588236</v>
      </c>
      <c r="N49" t="s">
        <v>123</v>
      </c>
    </row>
    <row r="50" spans="1:20">
      <c r="J50" t="s">
        <v>273</v>
      </c>
      <c r="M50">
        <f>110*M35</f>
        <v>1.4235294117647059</v>
      </c>
      <c r="N50" t="s">
        <v>123</v>
      </c>
    </row>
    <row r="53" spans="1:20">
      <c r="I53" t="s">
        <v>280</v>
      </c>
      <c r="J53">
        <v>0</v>
      </c>
      <c r="K53" t="s">
        <v>269</v>
      </c>
      <c r="M53">
        <v>434596000</v>
      </c>
      <c r="N53" t="s">
        <v>277</v>
      </c>
      <c r="O53" t="s">
        <v>282</v>
      </c>
    </row>
    <row r="54" spans="1:20">
      <c r="J54" s="78">
        <v>30</v>
      </c>
      <c r="K54" s="79"/>
      <c r="L54" s="79"/>
      <c r="M54" s="79">
        <f>M53+J54*M35*M42</f>
        <v>434596776.47058821</v>
      </c>
      <c r="N54" s="80">
        <f>X37-M54</f>
        <v>-324986.47058820724</v>
      </c>
    </row>
    <row r="55" spans="1:20">
      <c r="J55" s="81">
        <v>47</v>
      </c>
      <c r="K55" s="82"/>
      <c r="L55" s="82"/>
      <c r="M55" s="82">
        <f>M53+J55*M35*M42</f>
        <v>434597216.47058821</v>
      </c>
      <c r="N55" s="83">
        <f>S37-M55</f>
        <v>-325006.47058820724</v>
      </c>
      <c r="Q55">
        <f>M55-M54</f>
        <v>440</v>
      </c>
    </row>
    <row r="56" spans="1:20">
      <c r="J56">
        <v>255</v>
      </c>
      <c r="M56">
        <f>M53+J56*M35*M42</f>
        <v>434602600</v>
      </c>
      <c r="N56">
        <f>M56-M57</f>
        <v>-400</v>
      </c>
      <c r="O56" t="s">
        <v>294</v>
      </c>
    </row>
    <row r="57" spans="1:20">
      <c r="J57">
        <v>255</v>
      </c>
      <c r="M57">
        <v>434603000</v>
      </c>
      <c r="N57" t="s">
        <v>277</v>
      </c>
      <c r="O57" t="s">
        <v>281</v>
      </c>
      <c r="S57">
        <f>M57-M53</f>
        <v>7000</v>
      </c>
      <c r="T57" t="s">
        <v>283</v>
      </c>
    </row>
    <row r="58" spans="1:20">
      <c r="S58">
        <f>S57/256</f>
        <v>27.34375</v>
      </c>
      <c r="T58" t="s">
        <v>284</v>
      </c>
    </row>
    <row r="59" spans="1:20">
      <c r="A59" s="84">
        <v>43093</v>
      </c>
      <c r="J59" t="s">
        <v>293</v>
      </c>
      <c r="M59">
        <f>M55-M54</f>
        <v>440</v>
      </c>
    </row>
  </sheetData>
  <hyperlinks>
    <hyperlink ref="C2" r:id="rId1"/>
    <hyperlink ref="C4" r:id="rId2"/>
    <hyperlink ref="C10" r:id="rId3"/>
    <hyperlink ref="B33" r:id="rId4"/>
    <hyperlink ref="C5" r:id="rId5"/>
    <hyperlink ref="C6" r:id="rId6"/>
    <hyperlink ref="C7" r:id="rId7"/>
    <hyperlink ref="C8" r:id="rId8"/>
    <hyperlink ref="D11" r:id="rId9"/>
  </hyperlinks>
  <pageMargins left="0.7" right="0.7" top="0.75" bottom="0.75" header="0.3" footer="0.3"/>
  <pageSetup paperSize="9" orientation="portrait" r:id="rId10"/>
  <drawing r:id="rId11"/>
</worksheet>
</file>

<file path=xl/worksheets/sheet6.xml><?xml version="1.0" encoding="utf-8"?>
<worksheet xmlns="http://schemas.openxmlformats.org/spreadsheetml/2006/main" xmlns:r="http://schemas.openxmlformats.org/officeDocument/2006/relationships">
  <sheetPr codeName="Sheet5">
    <tabColor rgb="FFFF0000"/>
  </sheetPr>
  <dimension ref="B2:C5"/>
  <sheetViews>
    <sheetView workbookViewId="0">
      <selection activeCell="D13" sqref="D13"/>
    </sheetView>
  </sheetViews>
  <sheetFormatPr defaultRowHeight="15"/>
  <sheetData>
    <row r="2" spans="2:3">
      <c r="B2" t="s">
        <v>36</v>
      </c>
      <c r="C2" s="1" t="s">
        <v>29</v>
      </c>
    </row>
    <row r="4" spans="2:3">
      <c r="B4" t="s">
        <v>30</v>
      </c>
      <c r="C4" s="1" t="s">
        <v>31</v>
      </c>
    </row>
    <row r="5" spans="2:3">
      <c r="B5" t="s">
        <v>73</v>
      </c>
      <c r="C5" s="2">
        <v>14.4</v>
      </c>
    </row>
  </sheetData>
  <hyperlinks>
    <hyperlink ref="C2" r:id="rId1"/>
    <hyperlink ref="C4" r:id="rId2"/>
  </hyperlinks>
  <pageMargins left="0.7" right="0.7" top="0.75" bottom="0.75" header="0.3" footer="0.3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>
  <sheetPr codeName="Sheet6">
    <tabColor rgb="FFFF0000"/>
  </sheetPr>
  <dimension ref="B2:C6"/>
  <sheetViews>
    <sheetView workbookViewId="0">
      <selection activeCell="C2" sqref="C2"/>
    </sheetView>
  </sheetViews>
  <sheetFormatPr defaultRowHeight="15"/>
  <sheetData>
    <row r="2" spans="2:3">
      <c r="B2" t="s">
        <v>36</v>
      </c>
      <c r="C2" s="1" t="s">
        <v>74</v>
      </c>
    </row>
    <row r="4" spans="2:3">
      <c r="B4" t="s">
        <v>30</v>
      </c>
      <c r="C4" s="1" t="s">
        <v>75</v>
      </c>
    </row>
    <row r="5" spans="2:3">
      <c r="C5" s="1" t="s">
        <v>76</v>
      </c>
    </row>
    <row r="6" spans="2:3">
      <c r="B6" t="s">
        <v>73</v>
      </c>
      <c r="C6" s="2">
        <v>5.51</v>
      </c>
    </row>
  </sheetData>
  <hyperlinks>
    <hyperlink ref="C4" r:id="rId1"/>
    <hyperlink ref="C5" r:id="rId2"/>
    <hyperlink ref="C2" r:id="rId3"/>
  </hyperlinks>
  <pageMargins left="0.7" right="0.7" top="0.75" bottom="0.75" header="0.3" footer="0.3"/>
  <drawing r:id="rId4"/>
</worksheet>
</file>

<file path=xl/worksheets/sheet8.xml><?xml version="1.0" encoding="utf-8"?>
<worksheet xmlns="http://schemas.openxmlformats.org/spreadsheetml/2006/main" xmlns:r="http://schemas.openxmlformats.org/officeDocument/2006/relationships">
  <sheetPr codeName="Sheet7">
    <tabColor theme="9"/>
  </sheetPr>
  <dimension ref="B2:Q31"/>
  <sheetViews>
    <sheetView zoomScale="80" zoomScaleNormal="80" workbookViewId="0">
      <selection activeCell="Q30" sqref="Q30"/>
    </sheetView>
  </sheetViews>
  <sheetFormatPr defaultRowHeight="15"/>
  <cols>
    <col min="2" max="2" width="10.42578125" bestFit="1" customWidth="1"/>
  </cols>
  <sheetData>
    <row r="2" spans="2:3">
      <c r="B2" t="s">
        <v>39</v>
      </c>
      <c r="C2" s="1" t="s">
        <v>56</v>
      </c>
    </row>
    <row r="3" spans="2:3">
      <c r="B3" t="s">
        <v>34</v>
      </c>
      <c r="C3" s="1" t="s">
        <v>53</v>
      </c>
    </row>
    <row r="4" spans="2:3">
      <c r="B4" t="s">
        <v>54</v>
      </c>
      <c r="C4" s="1" t="s">
        <v>55</v>
      </c>
    </row>
    <row r="5" spans="2:3">
      <c r="B5" t="s">
        <v>65</v>
      </c>
      <c r="C5" t="s">
        <v>66</v>
      </c>
    </row>
    <row r="30" spans="15:17">
      <c r="O30">
        <f>7*0.25</f>
        <v>1.75</v>
      </c>
      <c r="P30">
        <f>O30*25.4</f>
        <v>44.449999999999996</v>
      </c>
      <c r="Q30">
        <f>P30*1000</f>
        <v>44449.999999999993</v>
      </c>
    </row>
    <row r="31" spans="15:17">
      <c r="O31">
        <f>7*6</f>
        <v>42</v>
      </c>
    </row>
  </sheetData>
  <hyperlinks>
    <hyperlink ref="C3" r:id="rId1"/>
    <hyperlink ref="C4" r:id="rId2"/>
    <hyperlink ref="C2" r:id="rId3"/>
  </hyperlinks>
  <pageMargins left="0.7" right="0.7" top="0.75" bottom="0.75" header="0.3" footer="0.3"/>
  <drawing r:id="rId4"/>
</worksheet>
</file>

<file path=xl/worksheets/sheet9.xml><?xml version="1.0" encoding="utf-8"?>
<worksheet xmlns="http://schemas.openxmlformats.org/spreadsheetml/2006/main" xmlns:r="http://schemas.openxmlformats.org/officeDocument/2006/relationships">
  <sheetPr codeName="Sheet8">
    <tabColor theme="9"/>
  </sheetPr>
  <dimension ref="A2:AH119"/>
  <sheetViews>
    <sheetView topLeftCell="A25" workbookViewId="0">
      <selection activeCell="N20" sqref="N20"/>
    </sheetView>
  </sheetViews>
  <sheetFormatPr defaultRowHeight="15"/>
  <cols>
    <col min="6" max="6" width="11.7109375" bestFit="1" customWidth="1"/>
    <col min="10" max="33" width="3.140625" customWidth="1"/>
    <col min="34" max="34" width="8.5703125" bestFit="1" customWidth="1"/>
    <col min="35" max="52" width="3.140625" customWidth="1"/>
  </cols>
  <sheetData>
    <row r="2" spans="2:33">
      <c r="B2" t="s">
        <v>39</v>
      </c>
      <c r="C2" s="1" t="s">
        <v>3</v>
      </c>
    </row>
    <row r="3" spans="2:33">
      <c r="B3" t="s">
        <v>34</v>
      </c>
      <c r="C3" s="1" t="s">
        <v>57</v>
      </c>
    </row>
    <row r="4" spans="2:33">
      <c r="B4" t="s">
        <v>54</v>
      </c>
      <c r="C4" s="1" t="s">
        <v>58</v>
      </c>
    </row>
    <row r="5" spans="2:33">
      <c r="B5" t="s">
        <v>59</v>
      </c>
      <c r="C5" s="2">
        <v>7.92</v>
      </c>
    </row>
    <row r="6" spans="2:33">
      <c r="B6" t="s">
        <v>63</v>
      </c>
      <c r="C6" t="s">
        <v>64</v>
      </c>
    </row>
    <row r="13" spans="2:33">
      <c r="J13" t="s">
        <v>494</v>
      </c>
    </row>
    <row r="15" spans="2:33">
      <c r="R15" s="51">
        <v>7</v>
      </c>
      <c r="S15" s="52">
        <v>6</v>
      </c>
      <c r="T15" s="52">
        <v>5</v>
      </c>
      <c r="U15" s="52">
        <v>4</v>
      </c>
      <c r="V15" s="52">
        <v>3</v>
      </c>
      <c r="W15" s="52">
        <v>2</v>
      </c>
      <c r="X15" s="52">
        <v>1</v>
      </c>
      <c r="Y15" s="53">
        <v>0</v>
      </c>
      <c r="Z15" s="58">
        <v>7</v>
      </c>
      <c r="AA15" s="59">
        <v>6</v>
      </c>
      <c r="AB15" s="59">
        <v>5</v>
      </c>
      <c r="AC15" s="59">
        <v>4</v>
      </c>
      <c r="AD15" s="59">
        <v>3</v>
      </c>
      <c r="AE15" s="59">
        <v>2</v>
      </c>
      <c r="AF15" s="59">
        <v>1</v>
      </c>
      <c r="AG15" s="60">
        <v>0</v>
      </c>
    </row>
    <row r="16" spans="2:33">
      <c r="R16" s="67">
        <v>0</v>
      </c>
      <c r="S16" s="68">
        <v>1</v>
      </c>
      <c r="T16" s="68">
        <v>0</v>
      </c>
      <c r="U16" s="68">
        <v>1</v>
      </c>
      <c r="V16" s="69">
        <v>1</v>
      </c>
      <c r="W16" s="68">
        <v>0</v>
      </c>
      <c r="X16" s="69">
        <v>1</v>
      </c>
      <c r="Y16" s="70">
        <v>0</v>
      </c>
      <c r="Z16" s="71">
        <v>1</v>
      </c>
      <c r="AA16" s="72">
        <v>0</v>
      </c>
      <c r="AB16" s="72">
        <v>1</v>
      </c>
      <c r="AC16" s="72">
        <v>1</v>
      </c>
      <c r="AD16" s="72">
        <v>0</v>
      </c>
      <c r="AE16" s="72">
        <v>0</v>
      </c>
      <c r="AF16" s="72">
        <v>1</v>
      </c>
      <c r="AG16" s="73">
        <v>1</v>
      </c>
    </row>
    <row r="17" spans="1:34">
      <c r="M17" t="s">
        <v>493</v>
      </c>
      <c r="R17" s="64">
        <f t="shared" ref="R17:W17" si="0">R16</f>
        <v>0</v>
      </c>
      <c r="S17" s="65">
        <f t="shared" si="0"/>
        <v>1</v>
      </c>
      <c r="T17" s="65">
        <f t="shared" si="0"/>
        <v>0</v>
      </c>
      <c r="U17" s="65">
        <f t="shared" si="0"/>
        <v>1</v>
      </c>
      <c r="V17" s="65">
        <f t="shared" si="0"/>
        <v>1</v>
      </c>
      <c r="W17" s="65">
        <f t="shared" si="0"/>
        <v>0</v>
      </c>
      <c r="X17" s="65">
        <v>0</v>
      </c>
      <c r="Y17" s="65">
        <v>1</v>
      </c>
      <c r="Z17" s="65">
        <v>0</v>
      </c>
      <c r="AA17" s="65">
        <v>1</v>
      </c>
      <c r="AB17" s="65">
        <v>0</v>
      </c>
      <c r="AC17" s="65">
        <v>0</v>
      </c>
      <c r="AD17" s="65">
        <v>1</v>
      </c>
      <c r="AE17" s="65">
        <v>1</v>
      </c>
      <c r="AF17" s="65">
        <v>1</v>
      </c>
      <c r="AG17" s="66">
        <v>0</v>
      </c>
    </row>
    <row r="18" spans="1:34">
      <c r="J18" s="38"/>
      <c r="K18" s="38"/>
      <c r="N18" s="6"/>
    </row>
    <row r="19" spans="1:34">
      <c r="J19" s="38"/>
      <c r="K19" s="38"/>
      <c r="R19" s="43">
        <f t="shared" ref="R19:AA19" si="1">S19*2</f>
        <v>32768</v>
      </c>
      <c r="S19" s="43">
        <f t="shared" si="1"/>
        <v>16384</v>
      </c>
      <c r="T19" s="43">
        <f t="shared" si="1"/>
        <v>8192</v>
      </c>
      <c r="U19" s="43">
        <f t="shared" si="1"/>
        <v>4096</v>
      </c>
      <c r="V19" s="43">
        <f t="shared" si="1"/>
        <v>2048</v>
      </c>
      <c r="W19" s="43">
        <f t="shared" si="1"/>
        <v>1024</v>
      </c>
      <c r="X19" s="43">
        <f t="shared" si="1"/>
        <v>512</v>
      </c>
      <c r="Y19" s="43">
        <f t="shared" si="1"/>
        <v>256</v>
      </c>
      <c r="Z19" s="43">
        <f t="shared" si="1"/>
        <v>128</v>
      </c>
      <c r="AA19" s="43">
        <f t="shared" si="1"/>
        <v>64</v>
      </c>
      <c r="AB19" s="43">
        <f>AC19*2</f>
        <v>32</v>
      </c>
      <c r="AC19" s="43">
        <v>16</v>
      </c>
      <c r="AD19" s="43">
        <v>8</v>
      </c>
      <c r="AE19" s="43">
        <v>4</v>
      </c>
      <c r="AF19" s="43">
        <v>2</v>
      </c>
      <c r="AG19" s="43">
        <v>1</v>
      </c>
      <c r="AH19" s="31" t="s">
        <v>492</v>
      </c>
    </row>
    <row r="20" spans="1:34">
      <c r="J20" s="38"/>
      <c r="K20" s="38"/>
      <c r="N20" s="16"/>
      <c r="R20" s="43">
        <f t="shared" ref="R20:AG20" si="2">IF(R17=1,R19,0)</f>
        <v>0</v>
      </c>
      <c r="S20" s="43">
        <f t="shared" si="2"/>
        <v>16384</v>
      </c>
      <c r="T20" s="43">
        <f t="shared" si="2"/>
        <v>0</v>
      </c>
      <c r="U20" s="43">
        <f t="shared" si="2"/>
        <v>4096</v>
      </c>
      <c r="V20" s="43">
        <f t="shared" si="2"/>
        <v>2048</v>
      </c>
      <c r="W20" s="43">
        <f t="shared" si="2"/>
        <v>0</v>
      </c>
      <c r="X20" s="43">
        <f t="shared" si="2"/>
        <v>0</v>
      </c>
      <c r="Y20" s="43">
        <f t="shared" si="2"/>
        <v>256</v>
      </c>
      <c r="Z20" s="43">
        <f t="shared" si="2"/>
        <v>0</v>
      </c>
      <c r="AA20" s="43">
        <f t="shared" si="2"/>
        <v>64</v>
      </c>
      <c r="AB20" s="43">
        <f t="shared" si="2"/>
        <v>0</v>
      </c>
      <c r="AC20" s="43">
        <f t="shared" si="2"/>
        <v>0</v>
      </c>
      <c r="AD20" s="43">
        <f t="shared" si="2"/>
        <v>8</v>
      </c>
      <c r="AE20" s="43">
        <f t="shared" si="2"/>
        <v>4</v>
      </c>
      <c r="AF20" s="43">
        <f t="shared" si="2"/>
        <v>2</v>
      </c>
      <c r="AG20" s="43">
        <f t="shared" si="2"/>
        <v>0</v>
      </c>
      <c r="AH20" s="31">
        <f>SUM(Q20:AG20)</f>
        <v>22862</v>
      </c>
    </row>
    <row r="21" spans="1:34">
      <c r="J21" s="38"/>
      <c r="K21" s="38"/>
    </row>
    <row r="23" spans="1:34">
      <c r="A23" t="s">
        <v>113</v>
      </c>
      <c r="B23" t="s">
        <v>491</v>
      </c>
      <c r="C23" t="str">
        <f>CONCATENATE(Q28,R28,S28,T28,U28,V28,W28,X28,Y28,Z28,AA28,AB28,AC28,AD28,AE28,AF28,AG28)</f>
        <v>10100100111011101</v>
      </c>
    </row>
    <row r="24" spans="1:34">
      <c r="J24" t="s">
        <v>494</v>
      </c>
    </row>
    <row r="25" spans="1:34">
      <c r="A25" t="s">
        <v>490</v>
      </c>
    </row>
    <row r="26" spans="1:34">
      <c r="B26" s="38" t="s">
        <v>90</v>
      </c>
      <c r="C26" s="38">
        <v>7072</v>
      </c>
      <c r="J26" s="44">
        <v>7</v>
      </c>
      <c r="K26" s="45">
        <v>6</v>
      </c>
      <c r="L26" s="45">
        <v>5</v>
      </c>
      <c r="M26" s="45">
        <v>4</v>
      </c>
      <c r="N26" s="45">
        <v>3</v>
      </c>
      <c r="O26" s="45">
        <v>2</v>
      </c>
      <c r="P26" s="45">
        <v>1</v>
      </c>
      <c r="Q26" s="46">
        <v>0</v>
      </c>
      <c r="R26" s="51">
        <v>7</v>
      </c>
      <c r="S26" s="52">
        <v>6</v>
      </c>
      <c r="T26" s="52">
        <v>5</v>
      </c>
      <c r="U26" s="52">
        <v>4</v>
      </c>
      <c r="V26" s="52">
        <v>3</v>
      </c>
      <c r="W26" s="52">
        <v>2</v>
      </c>
      <c r="X26" s="52">
        <v>1</v>
      </c>
      <c r="Y26" s="53">
        <v>0</v>
      </c>
      <c r="Z26" s="58">
        <v>7</v>
      </c>
      <c r="AA26" s="59">
        <v>6</v>
      </c>
      <c r="AB26" s="59">
        <v>5</v>
      </c>
      <c r="AC26" s="59">
        <v>4</v>
      </c>
      <c r="AD26" s="59">
        <v>3</v>
      </c>
      <c r="AE26" s="59">
        <v>2</v>
      </c>
      <c r="AF26" s="59">
        <v>1</v>
      </c>
      <c r="AG26" s="60">
        <v>0</v>
      </c>
    </row>
    <row r="27" spans="1:34">
      <c r="B27" s="38" t="s">
        <v>91</v>
      </c>
      <c r="C27" s="38">
        <v>-1021</v>
      </c>
      <c r="E27" t="s">
        <v>102</v>
      </c>
      <c r="F27" s="6">
        <f>(C38-C31)*C30/32768</f>
        <v>5794.9162292480469</v>
      </c>
      <c r="J27" s="47">
        <v>1</v>
      </c>
      <c r="K27" s="48">
        <v>0</v>
      </c>
      <c r="L27" s="48">
        <v>1</v>
      </c>
      <c r="M27" s="48">
        <v>0</v>
      </c>
      <c r="N27" s="49">
        <v>0</v>
      </c>
      <c r="O27" s="48">
        <v>1</v>
      </c>
      <c r="P27" s="48">
        <v>0</v>
      </c>
      <c r="Q27" s="50">
        <v>0</v>
      </c>
      <c r="R27" s="54">
        <v>1</v>
      </c>
      <c r="S27" s="55">
        <v>1</v>
      </c>
      <c r="T27" s="55">
        <v>1</v>
      </c>
      <c r="U27" s="55">
        <v>0</v>
      </c>
      <c r="V27" s="56">
        <v>1</v>
      </c>
      <c r="W27" s="55">
        <v>1</v>
      </c>
      <c r="X27" s="56">
        <v>1</v>
      </c>
      <c r="Y27" s="57">
        <v>0</v>
      </c>
      <c r="Z27" s="61">
        <v>1</v>
      </c>
      <c r="AA27" s="62">
        <v>0</v>
      </c>
      <c r="AB27" s="62">
        <v>0</v>
      </c>
      <c r="AC27" s="62">
        <v>0</v>
      </c>
      <c r="AD27" s="62">
        <v>0</v>
      </c>
      <c r="AE27" s="62">
        <v>0</v>
      </c>
      <c r="AF27" s="62">
        <v>0</v>
      </c>
      <c r="AG27" s="63">
        <v>0</v>
      </c>
    </row>
    <row r="28" spans="1:34">
      <c r="B28" s="38" t="s">
        <v>92</v>
      </c>
      <c r="C28" s="38">
        <v>-14500</v>
      </c>
      <c r="E28" t="s">
        <v>103</v>
      </c>
      <c r="F28" s="6">
        <f>C35*2048/(F27+C36)</f>
        <v>-2865.7210095694954</v>
      </c>
      <c r="M28" t="s">
        <v>493</v>
      </c>
      <c r="Q28" s="64">
        <f t="shared" ref="Q28:AF28" si="3">J27</f>
        <v>1</v>
      </c>
      <c r="R28" s="65">
        <f t="shared" si="3"/>
        <v>0</v>
      </c>
      <c r="S28" s="65">
        <f t="shared" si="3"/>
        <v>1</v>
      </c>
      <c r="T28" s="65">
        <f t="shared" si="3"/>
        <v>0</v>
      </c>
      <c r="U28" s="65">
        <f t="shared" si="3"/>
        <v>0</v>
      </c>
      <c r="V28" s="65">
        <f t="shared" si="3"/>
        <v>1</v>
      </c>
      <c r="W28" s="65">
        <f t="shared" si="3"/>
        <v>0</v>
      </c>
      <c r="X28" s="65">
        <f t="shared" si="3"/>
        <v>0</v>
      </c>
      <c r="Y28" s="65">
        <f t="shared" si="3"/>
        <v>1</v>
      </c>
      <c r="Z28" s="65">
        <f t="shared" si="3"/>
        <v>1</v>
      </c>
      <c r="AA28" s="65">
        <f t="shared" si="3"/>
        <v>1</v>
      </c>
      <c r="AB28" s="65">
        <f t="shared" si="3"/>
        <v>0</v>
      </c>
      <c r="AC28" s="65">
        <f t="shared" si="3"/>
        <v>1</v>
      </c>
      <c r="AD28" s="65">
        <f t="shared" si="3"/>
        <v>1</v>
      </c>
      <c r="AE28" s="65">
        <f t="shared" si="3"/>
        <v>1</v>
      </c>
      <c r="AF28" s="65">
        <f t="shared" si="3"/>
        <v>0</v>
      </c>
      <c r="AG28" s="66">
        <f>Z27</f>
        <v>1</v>
      </c>
    </row>
    <row r="29" spans="1:34">
      <c r="B29" s="38" t="s">
        <v>93</v>
      </c>
      <c r="C29" s="38">
        <v>33551</v>
      </c>
      <c r="E29" t="s">
        <v>104</v>
      </c>
      <c r="F29" s="6">
        <f>F27+F28</f>
        <v>2929.1952196785514</v>
      </c>
      <c r="J29" s="38"/>
      <c r="K29" s="38"/>
      <c r="N29" s="6"/>
    </row>
    <row r="30" spans="1:34">
      <c r="B30" s="38" t="s">
        <v>94</v>
      </c>
      <c r="C30" s="38">
        <v>25315</v>
      </c>
      <c r="E30" t="s">
        <v>105</v>
      </c>
      <c r="F30" s="6">
        <f>(F29+8)/16</f>
        <v>183.57470122990946</v>
      </c>
      <c r="J30" s="38"/>
      <c r="K30" s="38"/>
      <c r="Q30" s="43">
        <f t="shared" ref="Q30:AA30" si="4">R30*2</f>
        <v>65536</v>
      </c>
      <c r="R30" s="43">
        <f t="shared" si="4"/>
        <v>32768</v>
      </c>
      <c r="S30" s="43">
        <f t="shared" si="4"/>
        <v>16384</v>
      </c>
      <c r="T30" s="43">
        <f t="shared" si="4"/>
        <v>8192</v>
      </c>
      <c r="U30" s="43">
        <f t="shared" si="4"/>
        <v>4096</v>
      </c>
      <c r="V30" s="43">
        <f t="shared" si="4"/>
        <v>2048</v>
      </c>
      <c r="W30" s="43">
        <f t="shared" si="4"/>
        <v>1024</v>
      </c>
      <c r="X30" s="43">
        <f t="shared" si="4"/>
        <v>512</v>
      </c>
      <c r="Y30" s="43">
        <f t="shared" si="4"/>
        <v>256</v>
      </c>
      <c r="Z30" s="43">
        <f t="shared" si="4"/>
        <v>128</v>
      </c>
      <c r="AA30" s="43">
        <f t="shared" si="4"/>
        <v>64</v>
      </c>
      <c r="AB30" s="43">
        <f>AC30*2</f>
        <v>32</v>
      </c>
      <c r="AC30" s="43">
        <v>16</v>
      </c>
      <c r="AD30" s="43">
        <v>8</v>
      </c>
      <c r="AE30" s="43">
        <v>4</v>
      </c>
      <c r="AF30" s="43">
        <v>2</v>
      </c>
      <c r="AG30" s="43">
        <v>1</v>
      </c>
      <c r="AH30" s="31" t="s">
        <v>492</v>
      </c>
    </row>
    <row r="31" spans="1:34">
      <c r="B31" s="38" t="s">
        <v>95</v>
      </c>
      <c r="C31" s="38">
        <v>15361</v>
      </c>
      <c r="E31" t="s">
        <v>106</v>
      </c>
      <c r="F31" s="16">
        <f>F30/10</f>
        <v>18.357470122990946</v>
      </c>
      <c r="J31" s="38"/>
      <c r="K31" s="38"/>
      <c r="N31" s="16"/>
      <c r="Q31" s="43">
        <f t="shared" ref="Q31:AF31" si="5">IF(Q28=1,Q30,0)</f>
        <v>65536</v>
      </c>
      <c r="R31" s="43">
        <f t="shared" si="5"/>
        <v>0</v>
      </c>
      <c r="S31" s="43">
        <f t="shared" si="5"/>
        <v>16384</v>
      </c>
      <c r="T31" s="43">
        <f t="shared" si="5"/>
        <v>0</v>
      </c>
      <c r="U31" s="43">
        <f t="shared" si="5"/>
        <v>0</v>
      </c>
      <c r="V31" s="43">
        <f t="shared" si="5"/>
        <v>2048</v>
      </c>
      <c r="W31" s="43">
        <f t="shared" si="5"/>
        <v>0</v>
      </c>
      <c r="X31" s="43">
        <f t="shared" si="5"/>
        <v>0</v>
      </c>
      <c r="Y31" s="43">
        <f t="shared" si="5"/>
        <v>256</v>
      </c>
      <c r="Z31" s="43">
        <f t="shared" si="5"/>
        <v>128</v>
      </c>
      <c r="AA31" s="43">
        <f t="shared" si="5"/>
        <v>64</v>
      </c>
      <c r="AB31" s="43">
        <f t="shared" si="5"/>
        <v>0</v>
      </c>
      <c r="AC31" s="43">
        <f t="shared" si="5"/>
        <v>16</v>
      </c>
      <c r="AD31" s="43">
        <f t="shared" si="5"/>
        <v>8</v>
      </c>
      <c r="AE31" s="43">
        <f t="shared" si="5"/>
        <v>4</v>
      </c>
      <c r="AF31" s="43">
        <f t="shared" si="5"/>
        <v>0</v>
      </c>
      <c r="AG31" s="43">
        <f>IF(AG28=1,AG30,0)</f>
        <v>1</v>
      </c>
      <c r="AH31" s="31">
        <f>SUM(Q31:AG31)</f>
        <v>84445</v>
      </c>
    </row>
    <row r="32" spans="1:34">
      <c r="B32" s="38" t="s">
        <v>96</v>
      </c>
      <c r="C32" s="38">
        <v>6515</v>
      </c>
      <c r="J32" s="38"/>
      <c r="K32" s="38"/>
    </row>
    <row r="33" spans="2:14">
      <c r="B33" s="38" t="s">
        <v>97</v>
      </c>
      <c r="C33" s="38">
        <v>34</v>
      </c>
      <c r="E33" t="s">
        <v>107</v>
      </c>
      <c r="F33" s="6">
        <f>F29-4000</f>
        <v>-1070.8047803214486</v>
      </c>
      <c r="J33" s="38"/>
      <c r="K33" s="38"/>
      <c r="N33" s="6"/>
    </row>
    <row r="34" spans="2:14">
      <c r="B34" s="38" t="s">
        <v>98</v>
      </c>
      <c r="C34" s="38">
        <v>-32768</v>
      </c>
      <c r="E34" t="s">
        <v>102</v>
      </c>
      <c r="F34" s="6">
        <f>(C33*(F33^2/4096))/2048</f>
        <v>4.6473953529614258</v>
      </c>
      <c r="J34" s="38"/>
      <c r="K34" s="38"/>
      <c r="N34" s="6"/>
    </row>
    <row r="35" spans="2:14">
      <c r="B35" s="38" t="s">
        <v>99</v>
      </c>
      <c r="C35" s="38">
        <v>-11786</v>
      </c>
      <c r="E35" t="s">
        <v>103</v>
      </c>
      <c r="F35" s="6">
        <f>C27*F33/2048</f>
        <v>533.83382847080031</v>
      </c>
      <c r="J35" s="38"/>
      <c r="K35" s="38"/>
      <c r="N35" s="6"/>
    </row>
    <row r="36" spans="2:14">
      <c r="B36" s="38" t="s">
        <v>100</v>
      </c>
      <c r="C36" s="38">
        <v>2628</v>
      </c>
      <c r="E36" t="s">
        <v>108</v>
      </c>
      <c r="F36" s="6">
        <f>F35+F34</f>
        <v>538.48122382376175</v>
      </c>
      <c r="J36" s="38"/>
      <c r="K36" s="38"/>
      <c r="N36" s="6"/>
    </row>
    <row r="37" spans="2:14">
      <c r="B37" s="38" t="s">
        <v>110</v>
      </c>
      <c r="C37" s="38">
        <v>1</v>
      </c>
      <c r="E37" t="s">
        <v>109</v>
      </c>
      <c r="F37" s="6">
        <f>((C26*4+F36)*2^C37+2)/4</f>
        <v>14413.74061191188</v>
      </c>
      <c r="J37" s="38"/>
      <c r="K37" s="38"/>
      <c r="N37" s="6"/>
    </row>
    <row r="38" spans="2:14">
      <c r="B38" t="s">
        <v>101</v>
      </c>
      <c r="C38">
        <f>AH20</f>
        <v>22862</v>
      </c>
    </row>
    <row r="39" spans="2:14">
      <c r="B39" t="s">
        <v>113</v>
      </c>
      <c r="C39">
        <f>AH31</f>
        <v>84445</v>
      </c>
      <c r="E39" t="s">
        <v>102</v>
      </c>
      <c r="F39" s="6">
        <f>C28*F33/8192</f>
        <v>1895.3453753248295</v>
      </c>
      <c r="N39" s="6"/>
    </row>
    <row r="40" spans="2:14">
      <c r="E40" t="s">
        <v>103</v>
      </c>
      <c r="F40" s="6">
        <f>(C32*F33^2/4096)/65536</f>
        <v>27.828842577705593</v>
      </c>
      <c r="H40" t="s">
        <v>495</v>
      </c>
      <c r="I40">
        <v>10000</v>
      </c>
      <c r="N40" s="6"/>
    </row>
    <row r="41" spans="2:14">
      <c r="E41" t="s">
        <v>108</v>
      </c>
      <c r="F41" s="6">
        <f>((F39+F40)+2)/4</f>
        <v>481.29355447563381</v>
      </c>
      <c r="H41" t="s">
        <v>496</v>
      </c>
      <c r="I41">
        <v>9279</v>
      </c>
      <c r="N41" s="6"/>
    </row>
    <row r="42" spans="2:14">
      <c r="E42" t="s">
        <v>111</v>
      </c>
      <c r="F42" s="6">
        <f>C29*(F41+32768)/2^15</f>
        <v>34043.794190863402</v>
      </c>
      <c r="H42" t="s">
        <v>497</v>
      </c>
      <c r="I42">
        <v>8423</v>
      </c>
      <c r="N42" s="6"/>
    </row>
    <row r="43" spans="2:14">
      <c r="E43" t="s">
        <v>112</v>
      </c>
      <c r="F43" s="6">
        <f>(C39-F37)*(50000/(2^C37))</f>
        <v>1750781484.702203</v>
      </c>
      <c r="H43" t="s">
        <v>498</v>
      </c>
      <c r="I43">
        <f>I41-I42</f>
        <v>856</v>
      </c>
      <c r="N43" s="6"/>
    </row>
    <row r="44" spans="2:14">
      <c r="F44">
        <f>HEX2DEC(80000000)</f>
        <v>2147483648</v>
      </c>
      <c r="I44">
        <f>I40/I43</f>
        <v>11.682242990654206</v>
      </c>
    </row>
    <row r="45" spans="2:14">
      <c r="E45" t="s">
        <v>114</v>
      </c>
      <c r="F45" s="6">
        <f>IF(F43&lt;F44,F43*2/F42,F43/F42*2)</f>
        <v>102854.66272570017</v>
      </c>
      <c r="N45" s="6"/>
    </row>
    <row r="46" spans="2:14">
      <c r="I46">
        <f>I40-I43</f>
        <v>9144</v>
      </c>
    </row>
    <row r="47" spans="2:14">
      <c r="E47" t="s">
        <v>102</v>
      </c>
      <c r="F47" s="6">
        <f>(F45/256)^2</f>
        <v>161423.97528713281</v>
      </c>
      <c r="I47">
        <f>I46/2000</f>
        <v>4.5720000000000001</v>
      </c>
      <c r="N47" s="6"/>
    </row>
    <row r="48" spans="2:14">
      <c r="E48" t="s">
        <v>102</v>
      </c>
      <c r="F48" s="6">
        <f>F47*3038/65536</f>
        <v>7483.0022723741067</v>
      </c>
      <c r="N48" s="6"/>
    </row>
    <row r="49" spans="2:14">
      <c r="B49">
        <f>511303/6</f>
        <v>85217.166666666672</v>
      </c>
      <c r="E49" t="s">
        <v>103</v>
      </c>
      <c r="F49" s="6">
        <f>(-7357*F45)/65536</f>
        <v>-11546.352442519777</v>
      </c>
      <c r="G49" s="6"/>
      <c r="N49" s="6"/>
    </row>
    <row r="50" spans="2:14">
      <c r="E50" t="s">
        <v>114</v>
      </c>
      <c r="F50" s="6">
        <f>F45+(F48+F49+3791)/16</f>
        <v>102837.64084006606</v>
      </c>
      <c r="N50" s="6"/>
    </row>
    <row r="54" spans="2:14">
      <c r="B54" t="s">
        <v>90</v>
      </c>
      <c r="C54">
        <v>408</v>
      </c>
    </row>
    <row r="55" spans="2:14">
      <c r="B55" t="s">
        <v>91</v>
      </c>
      <c r="C55">
        <v>-72</v>
      </c>
      <c r="E55" t="s">
        <v>102</v>
      </c>
      <c r="F55" s="6"/>
    </row>
    <row r="56" spans="2:14">
      <c r="B56" t="s">
        <v>92</v>
      </c>
      <c r="C56">
        <v>-14383</v>
      </c>
      <c r="E56" t="s">
        <v>103</v>
      </c>
      <c r="F56" s="6"/>
    </row>
    <row r="57" spans="2:14">
      <c r="B57" t="s">
        <v>93</v>
      </c>
      <c r="C57">
        <v>32741</v>
      </c>
      <c r="E57" t="s">
        <v>104</v>
      </c>
      <c r="F57" s="6"/>
    </row>
    <row r="58" spans="2:14">
      <c r="B58" t="s">
        <v>94</v>
      </c>
      <c r="C58">
        <v>32757</v>
      </c>
      <c r="E58" t="s">
        <v>105</v>
      </c>
      <c r="F58" s="6"/>
    </row>
    <row r="59" spans="2:14">
      <c r="B59" t="s">
        <v>95</v>
      </c>
      <c r="C59">
        <v>23153</v>
      </c>
      <c r="E59" t="s">
        <v>106</v>
      </c>
      <c r="F59" s="6"/>
    </row>
    <row r="60" spans="2:14">
      <c r="B60" t="s">
        <v>96</v>
      </c>
      <c r="C60">
        <v>6190</v>
      </c>
    </row>
    <row r="61" spans="2:14">
      <c r="B61" t="s">
        <v>97</v>
      </c>
      <c r="C61">
        <v>4</v>
      </c>
      <c r="E61" t="s">
        <v>107</v>
      </c>
      <c r="F61" s="6">
        <f>F57-4000</f>
        <v>-4000</v>
      </c>
    </row>
    <row r="62" spans="2:14">
      <c r="B62" t="s">
        <v>98</v>
      </c>
      <c r="C62">
        <v>-32768</v>
      </c>
      <c r="E62" t="s">
        <v>102</v>
      </c>
      <c r="F62" s="6">
        <f>(C61*(F61^2/4096))/2048</f>
        <v>7.62939453125</v>
      </c>
    </row>
    <row r="63" spans="2:14">
      <c r="B63" t="s">
        <v>99</v>
      </c>
      <c r="C63">
        <v>-8711</v>
      </c>
      <c r="E63" t="s">
        <v>103</v>
      </c>
      <c r="F63" s="6">
        <f>C55*F61/2048</f>
        <v>140.625</v>
      </c>
    </row>
    <row r="64" spans="2:14">
      <c r="B64" t="s">
        <v>100</v>
      </c>
      <c r="C64">
        <v>2868</v>
      </c>
      <c r="E64" t="s">
        <v>108</v>
      </c>
      <c r="F64" s="6">
        <f>F63+F62</f>
        <v>148.25439453125</v>
      </c>
    </row>
    <row r="65" spans="1:6">
      <c r="B65" t="s">
        <v>110</v>
      </c>
      <c r="C65">
        <v>0</v>
      </c>
      <c r="E65" t="s">
        <v>109</v>
      </c>
      <c r="F65" s="6">
        <f>((C54*4+F64)*2^C65+2)/4</f>
        <v>445.5635986328125</v>
      </c>
    </row>
    <row r="66" spans="1:6">
      <c r="B66" t="s">
        <v>101</v>
      </c>
      <c r="C66">
        <v>27898</v>
      </c>
    </row>
    <row r="67" spans="1:6">
      <c r="B67" t="s">
        <v>113</v>
      </c>
      <c r="C67">
        <v>23843</v>
      </c>
      <c r="E67" t="s">
        <v>102</v>
      </c>
      <c r="F67" s="6">
        <f>C56*F61/8192</f>
        <v>7022.94921875</v>
      </c>
    </row>
    <row r="68" spans="1:6">
      <c r="E68" t="s">
        <v>103</v>
      </c>
      <c r="F68" s="6">
        <f>(C60*F61^2/4096)/65536</f>
        <v>368.95275115966797</v>
      </c>
    </row>
    <row r="69" spans="1:6">
      <c r="E69" t="s">
        <v>108</v>
      </c>
      <c r="F69" s="6">
        <f>((F67+F68)+2)/4</f>
        <v>1848.475492477417</v>
      </c>
    </row>
    <row r="70" spans="1:6">
      <c r="E70" t="s">
        <v>111</v>
      </c>
      <c r="F70" s="6">
        <f>C57*(F69+32768)/2^15</f>
        <v>34587.952395605564</v>
      </c>
    </row>
    <row r="71" spans="1:6">
      <c r="E71" t="s">
        <v>112</v>
      </c>
      <c r="F71" s="6">
        <f>(C67-F65)*(50000/(2^C65))</f>
        <v>1169871820.0683594</v>
      </c>
    </row>
    <row r="72" spans="1:6">
      <c r="F72">
        <f>HEX2DEC(80000000)</f>
        <v>2147483648</v>
      </c>
    </row>
    <row r="73" spans="1:6">
      <c r="A73">
        <v>49017</v>
      </c>
      <c r="E73" t="s">
        <v>114</v>
      </c>
      <c r="F73" s="6">
        <f>IF(F71&lt;F72,F71*2/F70,F71/F70*2)</f>
        <v>67646.202740639419</v>
      </c>
    </row>
    <row r="75" spans="1:6">
      <c r="E75" t="s">
        <v>102</v>
      </c>
      <c r="F75" s="6">
        <f>F73/256*F73/256</f>
        <v>69824.35219158465</v>
      </c>
    </row>
    <row r="76" spans="1:6">
      <c r="E76" t="s">
        <v>102</v>
      </c>
      <c r="F76" s="6">
        <f>F75*3038/65536</f>
        <v>3236.7917168889489</v>
      </c>
    </row>
    <row r="77" spans="1:6">
      <c r="A77" s="29" t="s">
        <v>221</v>
      </c>
      <c r="E77" t="s">
        <v>103</v>
      </c>
      <c r="F77" s="6">
        <f>-7357*F73/65536</f>
        <v>-7593.889061933658</v>
      </c>
    </row>
    <row r="78" spans="1:6">
      <c r="E78" t="s">
        <v>114</v>
      </c>
      <c r="F78" s="6">
        <f>F73+(F76+F77+3791)/16</f>
        <v>67610.821656574131</v>
      </c>
    </row>
    <row r="79" spans="1:6">
      <c r="A79">
        <f>60033*65536/(-7357)</f>
        <v>-534772.69104254455</v>
      </c>
    </row>
    <row r="106" spans="1:2">
      <c r="A106">
        <v>1</v>
      </c>
      <c r="B106">
        <v>102256</v>
      </c>
    </row>
    <row r="107" spans="1:2">
      <c r="A107">
        <v>2</v>
      </c>
      <c r="B107">
        <v>102259</v>
      </c>
    </row>
    <row r="108" spans="1:2">
      <c r="A108">
        <v>3</v>
      </c>
      <c r="B108">
        <v>102257</v>
      </c>
    </row>
    <row r="109" spans="1:2">
      <c r="A109">
        <v>4</v>
      </c>
      <c r="B109">
        <v>102262</v>
      </c>
    </row>
    <row r="110" spans="1:2">
      <c r="A110">
        <v>5</v>
      </c>
      <c r="B110">
        <v>102263</v>
      </c>
    </row>
    <row r="111" spans="1:2">
      <c r="A111">
        <v>6</v>
      </c>
      <c r="B111">
        <v>102265</v>
      </c>
    </row>
    <row r="112" spans="1:2">
      <c r="A112">
        <v>7</v>
      </c>
      <c r="B112">
        <v>102263</v>
      </c>
    </row>
    <row r="113" spans="1:2">
      <c r="A113">
        <v>8</v>
      </c>
      <c r="B113">
        <v>102256</v>
      </c>
    </row>
    <row r="114" spans="1:2">
      <c r="A114">
        <v>9</v>
      </c>
      <c r="B114">
        <v>102268</v>
      </c>
    </row>
    <row r="115" spans="1:2">
      <c r="A115">
        <v>10</v>
      </c>
      <c r="B115">
        <v>102262</v>
      </c>
    </row>
    <row r="116" spans="1:2">
      <c r="A116">
        <v>11</v>
      </c>
      <c r="B116">
        <v>102260</v>
      </c>
    </row>
    <row r="118" spans="1:2">
      <c r="B118">
        <f>SUM(B106:B116)</f>
        <v>1124871</v>
      </c>
    </row>
    <row r="119" spans="1:2">
      <c r="B119">
        <f>B118/12</f>
        <v>93739.25</v>
      </c>
    </row>
  </sheetData>
  <hyperlinks>
    <hyperlink ref="C3" r:id="rId1"/>
    <hyperlink ref="C2" r:id="rId2"/>
    <hyperlink ref="C4" r:id="rId3"/>
  </hyperlinks>
  <pageMargins left="0.7" right="0.7" top="0.75" bottom="0.75" header="0.3" footer="0.3"/>
  <pageSetup paperSize="9" orientation="portrait" r:id="rId4"/>
  <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26</vt:i4>
      </vt:variant>
    </vt:vector>
  </HeadingPairs>
  <TitlesOfParts>
    <vt:vector size="26" baseType="lpstr">
      <vt:lpstr>power</vt:lpstr>
      <vt:lpstr>pro_mini</vt:lpstr>
      <vt:lpstr>MAX-M8Q </vt:lpstr>
      <vt:lpstr>ntx2</vt:lpstr>
      <vt:lpstr>ntx2_new</vt:lpstr>
      <vt:lpstr>sd_card_1</vt:lpstr>
      <vt:lpstr>sd_card_2</vt:lpstr>
      <vt:lpstr>ds18b20</vt:lpstr>
      <vt:lpstr>bmp180</vt:lpstr>
      <vt:lpstr>adxl345</vt:lpstr>
      <vt:lpstr>htu21</vt:lpstr>
      <vt:lpstr>hmc5883</vt:lpstr>
      <vt:lpstr>FT232RL</vt:lpstr>
      <vt:lpstr>openlog</vt:lpstr>
      <vt:lpstr>volt_bridge</vt:lpstr>
      <vt:lpstr>Sheet1</vt:lpstr>
      <vt:lpstr>Sheet2</vt:lpstr>
      <vt:lpstr>Sheet3</vt:lpstr>
      <vt:lpstr>comms</vt:lpstr>
      <vt:lpstr>error_codes</vt:lpstr>
      <vt:lpstr>weights</vt:lpstr>
      <vt:lpstr>altitude</vt:lpstr>
      <vt:lpstr>Sheet5</vt:lpstr>
      <vt:lpstr>Sheet4</vt:lpstr>
      <vt:lpstr>sprintf</vt:lpstr>
      <vt:lpstr>Sheet6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Gordon Taylor</dc:creator>
  <cp:lastModifiedBy>Us</cp:lastModifiedBy>
  <dcterms:created xsi:type="dcterms:W3CDTF">2016-08-24T09:55:16Z</dcterms:created>
  <dcterms:modified xsi:type="dcterms:W3CDTF">2017-12-24T18:11:42Z</dcterms:modified>
</cp:coreProperties>
</file>